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5180" windowHeight="9345" tabRatio="954" activeTab="0"/>
  </bookViews>
  <sheets>
    <sheet name="BOGEN &quot;ALLE&quot;" sheetId="1" r:id="rId1"/>
    <sheet name="BOGEN &quot;BARDE&quot;" sheetId="2" r:id="rId2"/>
    <sheet name="BOGEN &quot;DIEB&quot;" sheetId="3" r:id="rId3"/>
    <sheet name="BOGEN &quot;MAGIER&quot;" sheetId="4" r:id="rId4"/>
    <sheet name="BOGEN &quot;PRIESTER&quot;" sheetId="5" r:id="rId5"/>
    <sheet name="Waffenbogen" sheetId="6" r:id="rId6"/>
    <sheet name="ST" sheetId="7" r:id="rId7"/>
    <sheet name="GE" sheetId="8" r:id="rId8"/>
    <sheet name="KO" sheetId="9" r:id="rId9"/>
    <sheet name="IN" sheetId="10" r:id="rId10"/>
    <sheet name="WE" sheetId="11" r:id="rId11"/>
    <sheet name="CH" sheetId="12" r:id="rId12"/>
    <sheet name="ECKDAT allg" sheetId="13" r:id="rId13"/>
    <sheet name="ECKDAT barde" sheetId="14" r:id="rId14"/>
    <sheet name="ECKDAT dieb" sheetId="15" r:id="rId15"/>
    <sheet name="ECKDAT magier" sheetId="16" r:id="rId16"/>
    <sheet name="ECKDAT priester&amp;druide" sheetId="17" r:id="rId17"/>
    <sheet name="Fertigkeiten" sheetId="18" r:id="rId18"/>
    <sheet name="Waffen" sheetId="19" r:id="rId19"/>
    <sheet name="AD&amp;D Ausrüstung" sheetId="20" r:id="rId20"/>
    <sheet name="FR Cal" sheetId="21" r:id="rId21"/>
  </sheets>
  <definedNames>
    <definedName name="_xlnm._FilterDatabase" localSheetId="19" hidden="1">'AD&amp;D Ausrüstung'!$B$1:$B$65536</definedName>
    <definedName name="_xlnm._FilterDatabase" localSheetId="18" hidden="1">'Waffen'!$B$3:$Q$194</definedName>
    <definedName name="_xlnm.Print_Titles" localSheetId="5">'Waffenbogen'!$1:$10</definedName>
  </definedNames>
  <calcPr fullCalcOnLoad="1"/>
</workbook>
</file>

<file path=xl/sharedStrings.xml><?xml version="1.0" encoding="utf-8"?>
<sst xmlns="http://schemas.openxmlformats.org/spreadsheetml/2006/main" count="9063" uniqueCount="2598">
  <si>
    <t>Der Barde muss stillstehen und eine vorhandene Kopfbedeckung abnehmen. In der unmittelbaren Umgebung muss Ruhe herrschen. Laute die durch eine Tür wahrgenommen werden sind in der Regel lediglich undeutlich.</t>
  </si>
  <si>
    <t>B A R D E N F E R T I G K E I T E N</t>
  </si>
  <si>
    <t>D I E B E S F E R T I G K E I T E N</t>
  </si>
  <si>
    <t>Der Barde wird endeckt, wenn der Wurf 100% - dreifacher Erfahrungsstufe erreicht oder Überschreitet. Ist der Barde Erfahrener als das Opfer, wird die übersteigende Stufenanzahl vorgenanntem Wurf hinzuaddiert. Zudem kann der Barde einfache Taschenspielertricks zur Belustigung seines Puplikums vorführen.</t>
  </si>
  <si>
    <t>Barden sind geübtere Kletterer. Sie benötigen in der Regel keine Hilfsmittel und können zudem auch glatte Flächen und Wände überwinden. Dabei wird Ihre Bewegungsfreiheit eingeschränkt, an Kämpfen ist nicht zu denken.</t>
  </si>
  <si>
    <t>MAGISCHEN GEGENSTAND ERGRÜNDEN</t>
  </si>
  <si>
    <t>Mag. Gegenstand</t>
  </si>
  <si>
    <t>Der Barde kann, sofern er einen magischen Gegenstand zumindest betrachtet, seine ungefähre Natur erkennen. Er kann jedoch keine genauen Eigenschaften oder Fähigkeiten erkennen.</t>
  </si>
  <si>
    <t>ERMUTIGEN</t>
  </si>
  <si>
    <t>Der Barde kann die Gruppe ermutigen, wenn er genau weiss wer oder was die Gruppe bedroht.  Die Kameraden erhalten +1 auf Ihre Trefferwürfe und +1 auf Ihre Rettungswürfe, bzw. +2 auf Ihre Moral innerhalb eines Umkreises von 3m. Der Barde muss dafür mindestens 3 Runden singen oder rezitieren.  Die Dauer erhält entsprechend seiner Stufe an und kann nach Beendigung nicht erneuert werden für die aktuelle Situation.</t>
  </si>
  <si>
    <t>REAKTION BEEINFLUSSEN</t>
  </si>
  <si>
    <t>Der Barde kann die Reaktion einzelner oder ganzer Gruppen beeinflussen, sofern es nicht bereits zu einer feindlichen Handlung gekommen ist. Den "Opfern" steht ein Rettungswurf gegen Lähmung zu, ggf. abzüglich eines Abzuges. Der Barde kann bei erfolgreicher Anwendung die Reaktion wahlweise um eine Kategorie freundlicher oder feindlicher wählen.</t>
  </si>
  <si>
    <t>M A G I E R F Ä H I G K E I T E N   &amp;   Z A U B E R</t>
  </si>
  <si>
    <t>P R I E S T E R F Ä H I G K E I T E N   &amp;   Z A U B E R</t>
  </si>
  <si>
    <t>WEISHEIT 9</t>
  </si>
  <si>
    <t>WEISHEIT 10</t>
  </si>
  <si>
    <t>WEISHEIT 11</t>
  </si>
  <si>
    <t>WEISHEIT 12</t>
  </si>
  <si>
    <t>WEISHEIT 13</t>
  </si>
  <si>
    <t>WEISHEIT 14</t>
  </si>
  <si>
    <t>WEISHEIT 15</t>
  </si>
  <si>
    <t>WEISHEIT 16</t>
  </si>
  <si>
    <t>WEISHEIT 17</t>
  </si>
  <si>
    <t>WEISHEIT 18</t>
  </si>
  <si>
    <t>WEISHEIT 19</t>
  </si>
  <si>
    <t>WEISHEIT 20</t>
  </si>
  <si>
    <t>WEISHEIT 21</t>
  </si>
  <si>
    <t>WEISHEIT 22</t>
  </si>
  <si>
    <t>WEISHEIT 23</t>
  </si>
  <si>
    <t>WEISHEIT 24</t>
  </si>
  <si>
    <t>WEISHEIT 25</t>
  </si>
  <si>
    <t>WEISHEITSTABELLE PRIESTER</t>
  </si>
  <si>
    <t>WEISHEITSTABELLE DRUIDE</t>
  </si>
  <si>
    <t>WEISHEIT</t>
  </si>
  <si>
    <t>CHANCE, DAS ZAUBER VERSAGT</t>
  </si>
  <si>
    <t>+3</t>
  </si>
  <si>
    <t>1</t>
  </si>
  <si>
    <t>5</t>
  </si>
  <si>
    <t>10</t>
  </si>
  <si>
    <t>20</t>
  </si>
  <si>
    <t>35</t>
  </si>
  <si>
    <t>40</t>
  </si>
  <si>
    <t>45</t>
  </si>
  <si>
    <t>55</t>
  </si>
  <si>
    <t>70</t>
  </si>
  <si>
    <t>85</t>
  </si>
  <si>
    <t>110</t>
  </si>
  <si>
    <t>135</t>
  </si>
  <si>
    <t>3</t>
  </si>
  <si>
    <t>25</t>
  </si>
  <si>
    <t>90</t>
  </si>
  <si>
    <t>11</t>
  </si>
  <si>
    <t>115</t>
  </si>
  <si>
    <t>140</t>
  </si>
  <si>
    <t>170</t>
  </si>
  <si>
    <t>195</t>
  </si>
  <si>
    <t>220</t>
  </si>
  <si>
    <t>255</t>
  </si>
  <si>
    <t>280</t>
  </si>
  <si>
    <t>2</t>
  </si>
  <si>
    <t>4</t>
  </si>
  <si>
    <t>6</t>
  </si>
  <si>
    <t>7</t>
  </si>
  <si>
    <t>8</t>
  </si>
  <si>
    <t>9</t>
  </si>
  <si>
    <t>12</t>
  </si>
  <si>
    <t>160</t>
  </si>
  <si>
    <t>305</t>
  </si>
  <si>
    <t>13</t>
  </si>
  <si>
    <t>+4</t>
  </si>
  <si>
    <t>185</t>
  </si>
  <si>
    <t>330</t>
  </si>
  <si>
    <t>14</t>
  </si>
  <si>
    <t>+5</t>
  </si>
  <si>
    <t>235</t>
  </si>
  <si>
    <t>380</t>
  </si>
  <si>
    <t>15 (3)</t>
  </si>
  <si>
    <t>+6</t>
  </si>
  <si>
    <t>335</t>
  </si>
  <si>
    <t>480</t>
  </si>
  <si>
    <t>16 (6)</t>
  </si>
  <si>
    <t>+7</t>
  </si>
  <si>
    <t>+8</t>
  </si>
  <si>
    <t>+9</t>
  </si>
  <si>
    <t>+10</t>
  </si>
  <si>
    <t>+11</t>
  </si>
  <si>
    <t>+12</t>
  </si>
  <si>
    <t>+14</t>
  </si>
  <si>
    <t>485</t>
  </si>
  <si>
    <t>535</t>
  </si>
  <si>
    <t>635</t>
  </si>
  <si>
    <t>785</t>
  </si>
  <si>
    <t>935</t>
  </si>
  <si>
    <t>1235</t>
  </si>
  <si>
    <t>1535</t>
  </si>
  <si>
    <t>640</t>
  </si>
  <si>
    <t>700</t>
  </si>
  <si>
    <t>810</t>
  </si>
  <si>
    <t>970</t>
  </si>
  <si>
    <t>1130</t>
  </si>
  <si>
    <t>1440</t>
  </si>
  <si>
    <t>1750</t>
  </si>
  <si>
    <t>16 (8)</t>
  </si>
  <si>
    <t>17 (10)</t>
  </si>
  <si>
    <t>17 (12)</t>
  </si>
  <si>
    <t>18 (14)</t>
  </si>
  <si>
    <t>18 (16)</t>
  </si>
  <si>
    <t>19 (17)</t>
  </si>
  <si>
    <t>19 (18)</t>
  </si>
  <si>
    <t>Hügelriese</t>
  </si>
  <si>
    <t>Steinriese</t>
  </si>
  <si>
    <t>Frostriese</t>
  </si>
  <si>
    <t>Feuerriese</t>
  </si>
  <si>
    <t>Wolkenriese</t>
  </si>
  <si>
    <t>Titan</t>
  </si>
  <si>
    <t>Reaktionsmod.</t>
  </si>
  <si>
    <t>Fernwaffenmod.</t>
  </si>
  <si>
    <t>Ausweichmod.</t>
  </si>
  <si>
    <t>-6</t>
  </si>
  <si>
    <t>0</t>
  </si>
  <si>
    <t>Trefferpunkte</t>
  </si>
  <si>
    <t>Körperlicher Schock</t>
  </si>
  <si>
    <t>Wiedererw.</t>
  </si>
  <si>
    <t>RW gg. Gift</t>
  </si>
  <si>
    <t>Regeneration</t>
  </si>
  <si>
    <t>Trefferpunkte (Kämpfer)</t>
  </si>
  <si>
    <t>1 pro 6 Phasen</t>
  </si>
  <si>
    <t>1 pro 5 Phasen</t>
  </si>
  <si>
    <t>1 pro 4 Phasen</t>
  </si>
  <si>
    <t>1 pro 3 Phasen</t>
  </si>
  <si>
    <t>1 pro 2 Phasen</t>
  </si>
  <si>
    <t>1 pro Phase</t>
  </si>
  <si>
    <t>Anzahl der Sprachen</t>
  </si>
  <si>
    <t>Höchster Zaubergrad</t>
  </si>
  <si>
    <t>Chance, Zauber zu verstehen</t>
  </si>
  <si>
    <t>Höchstzahl von Zaubern pro Grad</t>
  </si>
  <si>
    <t>Immunität gg. Illusionen d.</t>
  </si>
  <si>
    <t>Vier</t>
  </si>
  <si>
    <t>18</t>
  </si>
  <si>
    <t>Alle</t>
  </si>
  <si>
    <t>Ersten Grades</t>
  </si>
  <si>
    <t>Zweiten Grades</t>
  </si>
  <si>
    <t>Dritten Grades</t>
  </si>
  <si>
    <t>Vierten Grades</t>
  </si>
  <si>
    <t>Fünften Grades</t>
  </si>
  <si>
    <t>Sechsten Grades</t>
  </si>
  <si>
    <t>Siebten Grades</t>
  </si>
  <si>
    <t>Mod. gg. mag. Angriff</t>
  </si>
  <si>
    <t>Zusätzl. Zauber (Grad)</t>
  </si>
  <si>
    <t>Chance, dass Zauber versagt</t>
  </si>
  <si>
    <t>Immunität gg.</t>
  </si>
  <si>
    <t>Eins</t>
  </si>
  <si>
    <t>Zwei</t>
  </si>
  <si>
    <t>Drei</t>
  </si>
  <si>
    <t>Eins, Vier</t>
  </si>
  <si>
    <t>Zwei, Vier</t>
  </si>
  <si>
    <t>Drei, Fünf</t>
  </si>
  <si>
    <t>Vier, Fünf</t>
  </si>
  <si>
    <t>Fünf, Fünf</t>
  </si>
  <si>
    <t>Sechs, Sechs</t>
  </si>
  <si>
    <t>Sechs, Sieben</t>
  </si>
  <si>
    <t>Befehl, Freundschaft, Furcht erzeugen,
Hypnose, Personen bezaubern</t>
  </si>
  <si>
    <t>Personen festhalten, Erschrecken, Strahl der
Schwächung, Vergessen, Furcht</t>
  </si>
  <si>
    <t>Einflüsterung, Gefühl, Monster bezaubern,
Ungeschicklichkeit, Verwirrung</t>
  </si>
  <si>
    <t>Auftrag, Chaos, Magisches Gefäß, Monster
festhalten, Schwachsinn Geas, Masseneinflüsterung</t>
  </si>
  <si>
    <t>Zepter der Herrschaft, Antipathie/ Smypathie,
Massenbezauberung, Todeszauber</t>
  </si>
  <si>
    <t>Höchstzahl der Gefolgsleute</t>
  </si>
  <si>
    <t>Grundloyalität</t>
  </si>
  <si>
    <t>15</t>
  </si>
  <si>
    <t>30</t>
  </si>
  <si>
    <t>50</t>
  </si>
  <si>
    <t>-8</t>
  </si>
  <si>
    <t>-7</t>
  </si>
  <si>
    <t>+16</t>
  </si>
  <si>
    <t>+18</t>
  </si>
  <si>
    <t>+20</t>
  </si>
  <si>
    <t>+13</t>
  </si>
  <si>
    <t>RASSE</t>
  </si>
  <si>
    <t>Mensch</t>
  </si>
  <si>
    <t>Zwerg</t>
  </si>
  <si>
    <t>Elf</t>
  </si>
  <si>
    <t>Halbelf</t>
  </si>
  <si>
    <t>Gnom</t>
  </si>
  <si>
    <t>Halbling</t>
  </si>
  <si>
    <t>KLASSE</t>
  </si>
  <si>
    <t>Kämpfer</t>
  </si>
  <si>
    <t>Paladin</t>
  </si>
  <si>
    <t>Waldläufer</t>
  </si>
  <si>
    <t>Magier</t>
  </si>
  <si>
    <t>Magierspezialist</t>
  </si>
  <si>
    <t>Kleriker</t>
  </si>
  <si>
    <t>Druide</t>
  </si>
  <si>
    <t>Dieb</t>
  </si>
  <si>
    <t>Barde</t>
  </si>
  <si>
    <t>Entfernung einschätzen</t>
  </si>
  <si>
    <t>Fährten markieren</t>
  </si>
  <si>
    <t>Fährtenzeichen</t>
  </si>
  <si>
    <t>Falknerei</t>
  </si>
  <si>
    <t>Höhlen erforschen</t>
  </si>
  <si>
    <t>Kartographie</t>
  </si>
  <si>
    <t>Reiten (im Wasser)</t>
  </si>
  <si>
    <t>Sammeln</t>
  </si>
  <si>
    <t>Signale übermitteln</t>
  </si>
  <si>
    <t>Tarnung</t>
  </si>
  <si>
    <t>Tierheilkunde</t>
  </si>
  <si>
    <t>Waffen schmieden, grobe</t>
  </si>
  <si>
    <t>Dreschflegel</t>
  </si>
  <si>
    <t>Eispickel</t>
  </si>
  <si>
    <t>Juak (Schneeklinge)</t>
  </si>
  <si>
    <t>Ritlik</t>
  </si>
  <si>
    <t>Barbar</t>
  </si>
  <si>
    <t>Gefahreninstinkt</t>
  </si>
  <si>
    <t>Kleider machen (primitiv)</t>
  </si>
  <si>
    <t>Tiere ausweiden</t>
  </si>
  <si>
    <t>Verstecken</t>
  </si>
  <si>
    <t>Zeichen geben</t>
  </si>
  <si>
    <t>Zeichensprache</t>
  </si>
  <si>
    <t>Artengak</t>
  </si>
  <si>
    <t>Axt, Unterarm-</t>
  </si>
  <si>
    <t>Bummerang (nicht wiederkehrend)</t>
  </si>
  <si>
    <t>Bummerang (wiederkehrend)</t>
  </si>
  <si>
    <t>Faustkeil</t>
  </si>
  <si>
    <t>Kaninchenstab</t>
  </si>
  <si>
    <t>Keule, Stachel-</t>
  </si>
  <si>
    <t>Keule, Wurf-</t>
  </si>
  <si>
    <t>Schleuder, Schnur</t>
  </si>
  <si>
    <t>Feuersteinscheibe</t>
  </si>
  <si>
    <t>gekerbter Stein</t>
  </si>
  <si>
    <t>Speerschleuder</t>
  </si>
  <si>
    <t>Speerschleuder, Pfeil-</t>
  </si>
  <si>
    <t>W/S</t>
  </si>
  <si>
    <t>1W3+1</t>
  </si>
  <si>
    <t>Entenschnabel</t>
  </si>
  <si>
    <t>Spitzbube</t>
  </si>
  <si>
    <t>WAFFENABZUG</t>
  </si>
  <si>
    <t>INITIATIVE</t>
  </si>
  <si>
    <t>Bes. Mag. Bonus</t>
  </si>
  <si>
    <t>BEIHÄNDIG??</t>
  </si>
  <si>
    <t>NEIN</t>
  </si>
  <si>
    <t>UNTOTE</t>
  </si>
  <si>
    <t>SHURIKEN</t>
  </si>
  <si>
    <t>CG</t>
  </si>
  <si>
    <t>Astronomie, Navigation, Segeln, Schwimmen</t>
  </si>
  <si>
    <t>Wert</t>
  </si>
  <si>
    <t>Verfügbare Zauber nach Grad</t>
  </si>
  <si>
    <t>Bannwirker</t>
  </si>
  <si>
    <t>Bannzauber</t>
  </si>
  <si>
    <t>Gegensätzliche Schulen</t>
  </si>
  <si>
    <t>Veränderung</t>
  </si>
  <si>
    <t>Illusion</t>
  </si>
  <si>
    <t>Beschwörer</t>
  </si>
  <si>
    <t>Herbeirufung</t>
  </si>
  <si>
    <t>Beschwörung</t>
  </si>
  <si>
    <t>Gr. Erkenntnis</t>
  </si>
  <si>
    <t>Anrufung</t>
  </si>
  <si>
    <t>Hervorrufung</t>
  </si>
  <si>
    <t>Illusionist</t>
  </si>
  <si>
    <t>Nekromantie</t>
  </si>
  <si>
    <t>Nekromant</t>
  </si>
  <si>
    <t>Verzauberung</t>
  </si>
  <si>
    <t>Bezauberung</t>
  </si>
  <si>
    <t>Seher</t>
  </si>
  <si>
    <t>Thaumaturg</t>
  </si>
  <si>
    <t>Wandler</t>
  </si>
  <si>
    <t>Zauberer</t>
  </si>
  <si>
    <t>Gr. Erkenntniszauber</t>
  </si>
  <si>
    <t>Spezialist</t>
  </si>
  <si>
    <t>Schule</t>
  </si>
  <si>
    <t>INTELLIGENZ</t>
  </si>
  <si>
    <t>HÖCHSTER ZAUBERGRAD</t>
  </si>
  <si>
    <r>
      <t xml:space="preserve">CHANCE, ZAUBER </t>
    </r>
    <r>
      <rPr>
        <sz val="5"/>
        <rFont val="Copperplate Gothic Light"/>
        <family val="2"/>
      </rPr>
      <t>ZU</t>
    </r>
    <r>
      <rPr>
        <sz val="7"/>
        <rFont val="Copperplate Gothic Light"/>
        <family val="2"/>
      </rPr>
      <t xml:space="preserve"> VERSTEHEN</t>
    </r>
  </si>
  <si>
    <t>HÖCHSTZAHL ZAUBER PRO GRAD</t>
  </si>
  <si>
    <t>SPEZIALIST</t>
  </si>
  <si>
    <t>SCHULE</t>
  </si>
  <si>
    <t>GEGENSÄTZLICHE SCHULE(N)</t>
  </si>
  <si>
    <t>Stufe</t>
  </si>
  <si>
    <t>VERFÜGBARE ZYKLEN</t>
  </si>
  <si>
    <t>GESCHOSS1</t>
  </si>
  <si>
    <t>Geschlecht</t>
  </si>
  <si>
    <t>Männlich</t>
  </si>
  <si>
    <t>Grösse</t>
  </si>
  <si>
    <t>Alter</t>
  </si>
  <si>
    <t>27 Jahre</t>
  </si>
  <si>
    <t>Gewicht</t>
  </si>
  <si>
    <t>94 kg</t>
  </si>
  <si>
    <t>Stärke</t>
  </si>
  <si>
    <t>Schadens-
modifikation</t>
  </si>
  <si>
    <t>Zulässige
Traglast</t>
  </si>
  <si>
    <t>Stangen verbiegen
Gatter anheben</t>
  </si>
  <si>
    <t>Geschicklichkeit</t>
  </si>
  <si>
    <t>Reaktions-
modifikation</t>
  </si>
  <si>
    <t>Fernwaffen-
modifikation</t>
  </si>
  <si>
    <t>Ausweich-
modifikation</t>
  </si>
  <si>
    <t>Konstitution</t>
  </si>
  <si>
    <t>Körperlicher
Schock</t>
  </si>
  <si>
    <t>Wieder-
erweckung</t>
  </si>
  <si>
    <t>Rettungswurf 
gegen Gift</t>
  </si>
  <si>
    <t>Intelligenz</t>
  </si>
  <si>
    <t>Anzahl der
Sprachen</t>
  </si>
  <si>
    <t>Höchster
Zaubergrad</t>
  </si>
  <si>
    <t>Chance, Zauber
zu vertehen</t>
  </si>
  <si>
    <t>Höchstzahl von
Zaubern pro Grad</t>
  </si>
  <si>
    <t>Immunität gegen
Illusionen des</t>
  </si>
  <si>
    <t>Weisheit</t>
  </si>
  <si>
    <t>Modifikation gg.
magische Angriffe</t>
  </si>
  <si>
    <t>Zusätzliche 
Zauber nach Grad</t>
  </si>
  <si>
    <t>Chance, daß
Zauber versagt</t>
  </si>
  <si>
    <t>Immunität
gegen</t>
  </si>
  <si>
    <t>Charisma</t>
  </si>
  <si>
    <t>Höchstzahl der
Gefolgsleute</t>
  </si>
  <si>
    <t>Grund-
loyalität</t>
  </si>
  <si>
    <t>MAX.PKT</t>
  </si>
  <si>
    <t>AKTUELL</t>
  </si>
  <si>
    <t>RÜSTUNG</t>
  </si>
  <si>
    <t>KEINE RÜSTUNG</t>
  </si>
  <si>
    <t>ELFENKETTENHEMD</t>
  </si>
  <si>
    <t>WATT. WAFFENROCK</t>
  </si>
  <si>
    <t>BESCHL. LEDERWAMS</t>
  </si>
  <si>
    <t>LEDERRÜSTUNG</t>
  </si>
  <si>
    <t>KETTENHEMD</t>
  </si>
  <si>
    <t>RINGPANZER</t>
  </si>
  <si>
    <t>SCHIENENPANZER</t>
  </si>
  <si>
    <t>LAMELLENPANZER</t>
  </si>
  <si>
    <t>PLATTENPANZER</t>
  </si>
  <si>
    <t>FELDHARNISCH</t>
  </si>
  <si>
    <t>BÄNDERPANZER</t>
  </si>
  <si>
    <t>MIT RÜSTUNG</t>
  </si>
  <si>
    <t>Axt</t>
  </si>
  <si>
    <t>1W10</t>
  </si>
  <si>
    <t>Streitaxt</t>
  </si>
  <si>
    <t>1W12</t>
  </si>
  <si>
    <t>1W8</t>
  </si>
  <si>
    <t>1W6</t>
  </si>
  <si>
    <t>3W4</t>
  </si>
  <si>
    <t>1W6+1</t>
  </si>
  <si>
    <t>1W4</t>
  </si>
  <si>
    <t>2W6</t>
  </si>
  <si>
    <t>S/K</t>
  </si>
  <si>
    <t>Flegel für Reiter</t>
  </si>
  <si>
    <t>1W3-1</t>
  </si>
  <si>
    <t>1W2-1</t>
  </si>
  <si>
    <t>Rossschinder</t>
  </si>
  <si>
    <t>Streitkolben f. Fussvolk</t>
  </si>
  <si>
    <t>Streitkolben f. Reiter</t>
  </si>
  <si>
    <t>Streithammer f. Fussvolk</t>
  </si>
  <si>
    <t>Streithammer f. Reiter</t>
  </si>
  <si>
    <t>S/W</t>
  </si>
  <si>
    <t>SF</t>
  </si>
  <si>
    <t>SCHUSSWEITE</t>
  </si>
  <si>
    <t>16</t>
  </si>
  <si>
    <t>24</t>
  </si>
  <si>
    <t>21</t>
  </si>
  <si>
    <t>17</t>
  </si>
  <si>
    <t>3-6</t>
  </si>
  <si>
    <t>VORKENNTNISSE</t>
  </si>
  <si>
    <t>Würfelwert</t>
  </si>
  <si>
    <t>Vorkenntnis</t>
  </si>
  <si>
    <t>Bedeutung</t>
  </si>
  <si>
    <t>01-06</t>
  </si>
  <si>
    <t>Bauer</t>
  </si>
  <si>
    <t>Grundlagen der Landwirtschaft</t>
  </si>
  <si>
    <t>07-08</t>
  </si>
  <si>
    <t>Bergmann</t>
  </si>
  <si>
    <t>Steinarbeiten, Prüfen von Metallen</t>
  </si>
  <si>
    <t>09-10</t>
  </si>
  <si>
    <t>Bogenbauer/ Pfeilschäfter</t>
  </si>
  <si>
    <t>Herstellung, Reparatur, Wertung von Bögen und Armbrüsten</t>
  </si>
  <si>
    <t>11-14</t>
  </si>
  <si>
    <t>Fallensteller/ Pelztierjäger</t>
  </si>
  <si>
    <t>Abhäuten von Tieren, Grundlagen der Waidmannskunst</t>
  </si>
  <si>
    <t>15-18</t>
  </si>
  <si>
    <t>Handhabung von Netzen und kleinen Booten, Schwimmen</t>
  </si>
  <si>
    <t>19-21</t>
  </si>
  <si>
    <t>Umgang mit Zugtieren, Wagenreparaturen</t>
  </si>
  <si>
    <t>22-24</t>
  </si>
  <si>
    <t>Abhäuten von Tieren, Gerben</t>
  </si>
  <si>
    <t>25-27</t>
  </si>
  <si>
    <t>Händler</t>
  </si>
  <si>
    <t>Schätzen gewöhnlicher Waren</t>
  </si>
  <si>
    <t>28-33</t>
  </si>
  <si>
    <t>Holzfäller</t>
  </si>
  <si>
    <t>Wald- und Holzkunde</t>
  </si>
  <si>
    <t>34-38</t>
  </si>
  <si>
    <t>Grundlagen der Waldkunde, des Fährtenlesens, Zerlegen von Tieren</t>
  </si>
  <si>
    <t>39-40</t>
  </si>
  <si>
    <t>Schätzen von Edelsteinen und Schmuck</t>
  </si>
  <si>
    <t>41-42</t>
  </si>
  <si>
    <t>Kunstmaler/ Zeichner</t>
  </si>
  <si>
    <t>Kartenzeichnen, Schätzen von Kunstgegenständen</t>
  </si>
  <si>
    <t>43-45</t>
  </si>
  <si>
    <t>Maurer</t>
  </si>
  <si>
    <t>Steinmetzarbeiten</t>
  </si>
  <si>
    <t>46-47</t>
  </si>
  <si>
    <t>Navigator</t>
  </si>
  <si>
    <t>48-49</t>
  </si>
  <si>
    <t>Rüstungsmacher</t>
  </si>
  <si>
    <t>Herstellung, Reparatur, Wertung von Rüstungen und Waffen</t>
  </si>
  <si>
    <t>50-51</t>
  </si>
  <si>
    <t>Holzarbeiten, Segeln</t>
  </si>
  <si>
    <t>52-54</t>
  </si>
  <si>
    <t>Schneider/ Weber</t>
  </si>
  <si>
    <t>Weben, Nähen, Stricken</t>
  </si>
  <si>
    <t>55-56</t>
  </si>
  <si>
    <t>Lesen, Schreiben, einfaches Rechnen</t>
  </si>
  <si>
    <t>57-59</t>
  </si>
  <si>
    <t>Seemann</t>
  </si>
  <si>
    <t>Segeln, Schwimmen</t>
  </si>
  <si>
    <t>60-62</t>
  </si>
  <si>
    <t>Spieler</t>
  </si>
  <si>
    <t>63-66</t>
  </si>
  <si>
    <t>Stallknecht</t>
  </si>
  <si>
    <t>Umgang mit Tieren</t>
  </si>
  <si>
    <t>67-69</t>
  </si>
  <si>
    <t>Tischler/ Zimmermann</t>
  </si>
  <si>
    <t>Holzarbeiten, Schnitzereien</t>
  </si>
  <si>
    <t>70-71</t>
  </si>
  <si>
    <t>Waffenschmied</t>
  </si>
  <si>
    <t>Herstellung, Reparatur, Wertung von Waffen</t>
  </si>
  <si>
    <t>72-85</t>
  </si>
  <si>
    <t>kein verwertbaren Vorkenntnisse</t>
  </si>
  <si>
    <t>86-00</t>
  </si>
  <si>
    <t>zweimal würfeln</t>
  </si>
  <si>
    <t>dann auswählen (bei 86-00 neu würfeln)</t>
  </si>
  <si>
    <t>Beherrschung div. Glücksspiele</t>
  </si>
  <si>
    <t>Messer</t>
  </si>
  <si>
    <t>1W3</t>
  </si>
  <si>
    <t>Dolch</t>
  </si>
  <si>
    <t>Hirschfänger</t>
  </si>
  <si>
    <t>1W4+1</t>
  </si>
  <si>
    <t>2W4</t>
  </si>
  <si>
    <t>Krummsäbel</t>
  </si>
  <si>
    <t>Säbel</t>
  </si>
  <si>
    <t>1W8+1</t>
  </si>
  <si>
    <t>Sichel</t>
  </si>
  <si>
    <t>2W8</t>
  </si>
  <si>
    <t>Rapier</t>
  </si>
  <si>
    <t>Kurzschwert</t>
  </si>
  <si>
    <t>Bastardschwert</t>
  </si>
  <si>
    <t>Wakizashi</t>
  </si>
  <si>
    <t>3W6</t>
  </si>
  <si>
    <t>Katana</t>
  </si>
  <si>
    <t>Peitsche</t>
  </si>
  <si>
    <t>1W2</t>
  </si>
  <si>
    <t>Wurfpfeil</t>
  </si>
  <si>
    <t>Shuriken</t>
  </si>
  <si>
    <t>Fangeisen</t>
  </si>
  <si>
    <t>Claymore</t>
  </si>
  <si>
    <t>DIE FLAMME DES NORDENS</t>
  </si>
  <si>
    <t>1,98m</t>
  </si>
  <si>
    <t>© MUTZE 2004</t>
  </si>
  <si>
    <t>WILLIAM VUL CUOLOUN WALLACE</t>
  </si>
  <si>
    <t>Name</t>
  </si>
  <si>
    <t>Machete</t>
  </si>
  <si>
    <t>Sai</t>
  </si>
  <si>
    <t>Morgenstern</t>
  </si>
  <si>
    <t>Kriegssense</t>
  </si>
  <si>
    <t>Kriegsgabel</t>
  </si>
  <si>
    <t>Hellebarde</t>
  </si>
  <si>
    <t>Schlegel</t>
  </si>
  <si>
    <t>Keule</t>
  </si>
  <si>
    <t>Ausrüstungsstück/Gegenstand</t>
  </si>
  <si>
    <t>Kategorie</t>
  </si>
  <si>
    <t>Preis (GM)</t>
  </si>
  <si>
    <t>Einheit</t>
  </si>
  <si>
    <t>Aal</t>
  </si>
  <si>
    <t>L</t>
  </si>
  <si>
    <t>Pfund</t>
  </si>
  <si>
    <t>Abführmittel, leicht</t>
  </si>
  <si>
    <t>H</t>
  </si>
  <si>
    <t>Dosis</t>
  </si>
  <si>
    <t>Abführmittel, mittelstark</t>
  </si>
  <si>
    <t>Abführmittel, stark</t>
  </si>
  <si>
    <t>Acaana</t>
  </si>
  <si>
    <t>K</t>
  </si>
  <si>
    <t>Achat, Bünder-</t>
  </si>
  <si>
    <t>E</t>
  </si>
  <si>
    <t>Karat</t>
  </si>
  <si>
    <t>Achat, Moos-</t>
  </si>
  <si>
    <t>Adamantit</t>
  </si>
  <si>
    <t>A</t>
  </si>
  <si>
    <t>Aderlaß</t>
  </si>
  <si>
    <t>B</t>
  </si>
  <si>
    <t>Stück</t>
  </si>
  <si>
    <t>Ahlspieß</t>
  </si>
  <si>
    <t>W</t>
  </si>
  <si>
    <t>Ahorn</t>
  </si>
  <si>
    <t>P</t>
  </si>
  <si>
    <t>10 Pfund</t>
  </si>
  <si>
    <t>Aldaka</t>
  </si>
  <si>
    <t>Aloe</t>
  </si>
  <si>
    <t>Altardeckchen</t>
  </si>
  <si>
    <t>Z</t>
  </si>
  <si>
    <t>Altarkistchen</t>
  </si>
  <si>
    <t>Amboß</t>
  </si>
  <si>
    <t>M</t>
  </si>
  <si>
    <t>Amboß, Reise-</t>
  </si>
  <si>
    <t>Amethyst</t>
  </si>
  <si>
    <t>Allgemeine Sprache - lesen &amp; schreiben</t>
  </si>
  <si>
    <t>Gaunersprache</t>
  </si>
  <si>
    <t>Angelhaken, Kupfer</t>
  </si>
  <si>
    <t>S</t>
  </si>
  <si>
    <t>Angelhaken, Stahl</t>
  </si>
  <si>
    <t>Angelschnur</t>
  </si>
  <si>
    <t>Meter</t>
  </si>
  <si>
    <t>Anserke</t>
  </si>
  <si>
    <t>Äpfel, billig</t>
  </si>
  <si>
    <t>Äpfel, edel</t>
  </si>
  <si>
    <t>Äpfel, gut</t>
  </si>
  <si>
    <t>Apfelwein (1000 Liter)</t>
  </si>
  <si>
    <t>Faß</t>
  </si>
  <si>
    <t>Aprikosen</t>
  </si>
  <si>
    <t xml:space="preserve">Aquamarin </t>
  </si>
  <si>
    <t>Arbeiter, angelernt</t>
  </si>
  <si>
    <t>Monat</t>
  </si>
  <si>
    <t>Arbeiter, gelernt</t>
  </si>
  <si>
    <t>Arbeiter, ungelernt</t>
  </si>
  <si>
    <t>Arbeitslampe</t>
  </si>
  <si>
    <t>D</t>
  </si>
  <si>
    <t>Arfandas</t>
  </si>
  <si>
    <t>Arkasu</t>
  </si>
  <si>
    <t>Arlam</t>
  </si>
  <si>
    <t>Arlan</t>
  </si>
  <si>
    <t>Armbrustbolzen, Handarmbrust-</t>
  </si>
  <si>
    <t>C</t>
  </si>
  <si>
    <t>Armbrustbolzen, leichte Armbrust</t>
  </si>
  <si>
    <t>Armbrustbolzen, schwere Armbrust</t>
  </si>
  <si>
    <t>Armbrusteroffizier</t>
  </si>
  <si>
    <t>Armbrustschütze, beritten</t>
  </si>
  <si>
    <t>Armbrustschütze, leicht</t>
  </si>
  <si>
    <t>Armbrustschütze, schwer</t>
  </si>
  <si>
    <t>Armschlinge</t>
  </si>
  <si>
    <t>Arnumias</t>
  </si>
  <si>
    <t>Arpsusar</t>
  </si>
  <si>
    <t>Artillerieoffizier</t>
  </si>
  <si>
    <t>Artillerist, leicht</t>
  </si>
  <si>
    <t>Artillerist, schwer</t>
  </si>
  <si>
    <t>Arztbesuch</t>
  </si>
  <si>
    <t>Arztfaden</t>
  </si>
  <si>
    <t>Athelas</t>
  </si>
  <si>
    <t>Atigax</t>
  </si>
  <si>
    <t>Atlas, edel</t>
  </si>
  <si>
    <t>G</t>
  </si>
  <si>
    <t>Quadratmeter</t>
  </si>
  <si>
    <t>Atlas, einfach</t>
  </si>
  <si>
    <t>Atlas, gut</t>
  </si>
  <si>
    <t>Attanar</t>
  </si>
  <si>
    <t>Ausbilder, für Arbeiter erfahren</t>
  </si>
  <si>
    <t>Ausbilder, für Arbeiter veterinär</t>
  </si>
  <si>
    <t>Ausbilder, militärisch erfahren</t>
  </si>
  <si>
    <t>Ausbilder, militärisch veterinär</t>
  </si>
  <si>
    <t>Ausbilder, sozial erfahren</t>
  </si>
  <si>
    <t>Ausbilder, sozial veterinär</t>
  </si>
  <si>
    <t>Austern</t>
  </si>
  <si>
    <t>Axt, beidschneidig</t>
  </si>
  <si>
    <t>Axt, Spalt-</t>
  </si>
  <si>
    <t>Azurit</t>
  </si>
  <si>
    <t>Bäcker</t>
  </si>
  <si>
    <t>Bäckermeister</t>
  </si>
  <si>
    <t>Bad</t>
  </si>
  <si>
    <t>Badeöl</t>
  </si>
  <si>
    <t>Halbliter</t>
  </si>
  <si>
    <t>Bambus</t>
  </si>
  <si>
    <t>Bänderpanzer</t>
  </si>
  <si>
    <t>R</t>
  </si>
  <si>
    <t>Bärenfell</t>
  </si>
  <si>
    <t>Bärenschinken</t>
  </si>
  <si>
    <t xml:space="preserve">Barke </t>
  </si>
  <si>
    <t>I</t>
  </si>
  <si>
    <t>Barsche</t>
  </si>
  <si>
    <t>Bartaxt</t>
  </si>
  <si>
    <t>Bauernspieß</t>
  </si>
  <si>
    <t>Baumeister</t>
  </si>
  <si>
    <t>Baumharz</t>
  </si>
  <si>
    <t>Baumschlafsack</t>
  </si>
  <si>
    <t>Baumwolltuch</t>
  </si>
  <si>
    <t>Beamter</t>
  </si>
  <si>
    <t>Beckenhaube</t>
  </si>
  <si>
    <t>Beerenwein, billig</t>
  </si>
  <si>
    <t>Beerenwein, edel</t>
  </si>
  <si>
    <t>Beerenwein, gut</t>
  </si>
  <si>
    <t>Beil</t>
  </si>
  <si>
    <t xml:space="preserve">Belan </t>
  </si>
  <si>
    <t>Belramba</t>
  </si>
  <si>
    <t>Bergkristall</t>
  </si>
  <si>
    <t>Bernstein</t>
  </si>
  <si>
    <t>Berterin</t>
  </si>
  <si>
    <t>Beruhigungsmittel, leicht</t>
  </si>
  <si>
    <t>Beruhigungsmittel, mittelstark</t>
  </si>
  <si>
    <t>Beruhigungsmittel, stark</t>
  </si>
  <si>
    <t>Bestickte Robe, Brokat</t>
  </si>
  <si>
    <t>F</t>
  </si>
  <si>
    <t>Bestickte Robe, Filz</t>
  </si>
  <si>
    <t>Bestickte Robe, Flachs</t>
  </si>
  <si>
    <t>Bestickte Robe, Leinen</t>
  </si>
  <si>
    <t>Bestickte Robe, Samt</t>
  </si>
  <si>
    <t>Bestickte Robe, Seide</t>
  </si>
  <si>
    <t>Bestickte Robe, Tuch</t>
  </si>
  <si>
    <t>Beutelmacher</t>
  </si>
  <si>
    <t>Biberfell</t>
  </si>
  <si>
    <t>Bienenflügel</t>
  </si>
  <si>
    <t>Paar</t>
  </si>
  <si>
    <t>Bill</t>
  </si>
  <si>
    <t>Birke</t>
  </si>
  <si>
    <t>Birnen, billig</t>
  </si>
  <si>
    <t>Birnen, edel</t>
  </si>
  <si>
    <t>Birnen, gut</t>
  </si>
  <si>
    <t>Bitterwein, billig</t>
  </si>
  <si>
    <t>Bitterwein, edel</t>
  </si>
  <si>
    <t>Bitterwein, gut</t>
  </si>
  <si>
    <t>Blasebalg</t>
  </si>
  <si>
    <t>Blasrohr</t>
  </si>
  <si>
    <t>Blasrohrnadel</t>
  </si>
  <si>
    <t>Blasrohrpfeil</t>
  </si>
  <si>
    <t>Blauquarz</t>
  </si>
  <si>
    <t>Blechtopf, 5 Liter</t>
  </si>
  <si>
    <t>Blechtopf, 5 Liter, email</t>
  </si>
  <si>
    <t>Blei</t>
  </si>
  <si>
    <t>Blendpulver</t>
  </si>
  <si>
    <t>Blutgerinnungsmittel, äußerlich</t>
  </si>
  <si>
    <t>Blutgerinnungsmittel, innerlich</t>
  </si>
  <si>
    <t>Blutstein</t>
  </si>
  <si>
    <t>Blutulme</t>
  </si>
  <si>
    <t>Bo-Stab</t>
  </si>
  <si>
    <t>Bogenmacher</t>
  </si>
  <si>
    <t>Bogenmachermeister</t>
  </si>
  <si>
    <t>Bogenschütze, beritten</t>
  </si>
  <si>
    <t>Bogenschütze, leicht</t>
  </si>
  <si>
    <t>Bogenschütze, schwer</t>
  </si>
  <si>
    <t>Bogenschützenoffizier</t>
  </si>
  <si>
    <t>Bohnen</t>
  </si>
  <si>
    <t>Boku-Toh</t>
  </si>
  <si>
    <t>Bolas</t>
  </si>
  <si>
    <t>Bolzenköcher, Holz</t>
  </si>
  <si>
    <t>Bolzenköcher, Leder</t>
  </si>
  <si>
    <t>Botengang</t>
  </si>
  <si>
    <t>Meile</t>
  </si>
  <si>
    <t>Botschafter</t>
  </si>
  <si>
    <t>Brandeisen</t>
  </si>
  <si>
    <t>Bratspieß</t>
  </si>
  <si>
    <t>Brauer</t>
  </si>
  <si>
    <t>Braukessel</t>
  </si>
  <si>
    <t>Braukessel, Kupfer-</t>
  </si>
  <si>
    <t>Braumeister</t>
  </si>
  <si>
    <t>Braunvieh</t>
  </si>
  <si>
    <t>T</t>
  </si>
  <si>
    <t>Brechstange</t>
  </si>
  <si>
    <t>Breldiar</t>
  </si>
  <si>
    <t>Brieftaube</t>
  </si>
  <si>
    <t>Brokat, Gold-</t>
  </si>
  <si>
    <t>Brokat, Silber-</t>
  </si>
  <si>
    <t>Bronze</t>
  </si>
  <si>
    <t>Bronzepanzer</t>
  </si>
  <si>
    <t>Brosche, einfach</t>
  </si>
  <si>
    <t>Brosche, Schmuck</t>
  </si>
  <si>
    <t>Brotbeutel</t>
  </si>
  <si>
    <t>Buch, leer</t>
  </si>
  <si>
    <t>25 Seiten</t>
  </si>
  <si>
    <t>Buch, leer, abschließbar</t>
  </si>
  <si>
    <t>Buchbinder</t>
  </si>
  <si>
    <t>Buche</t>
  </si>
  <si>
    <t>Büffelleder</t>
  </si>
  <si>
    <t>Bursthelas</t>
  </si>
  <si>
    <t>Butter</t>
  </si>
  <si>
    <t>Caltrops</t>
  </si>
  <si>
    <t>Cestus</t>
  </si>
  <si>
    <t>Chrysoberyll</t>
  </si>
  <si>
    <t>Chrysopras</t>
  </si>
  <si>
    <t>Corrach</t>
  </si>
  <si>
    <t>Culhas</t>
  </si>
  <si>
    <t>Dagmather</t>
  </si>
  <si>
    <t>Daikyu</t>
  </si>
  <si>
    <t>Dalrean</t>
  </si>
  <si>
    <t>Darswion</t>
  </si>
  <si>
    <t>Datteln, billig</t>
  </si>
  <si>
    <t>Datteln, edel</t>
  </si>
  <si>
    <t>Dattelwein, billig</t>
  </si>
  <si>
    <t>Dattelwein, edel</t>
  </si>
  <si>
    <t>Dattelwein, gut</t>
  </si>
  <si>
    <t>Dauerwurst</t>
  </si>
  <si>
    <t>Decke, Pelz</t>
  </si>
  <si>
    <t>Decke, Tuch</t>
  </si>
  <si>
    <t>Degen</t>
  </si>
  <si>
    <t>Destiliertes Wasser</t>
  </si>
  <si>
    <t>Diamant</t>
  </si>
  <si>
    <t>VORKENNTNIS</t>
  </si>
  <si>
    <t>Klasse 2</t>
  </si>
  <si>
    <t>Klasse 3</t>
  </si>
  <si>
    <t>TP</t>
  </si>
  <si>
    <t>FERTIGKEITEN</t>
  </si>
  <si>
    <t>Diebeshelm</t>
  </si>
  <si>
    <t>Diebeswerkzeug</t>
  </si>
  <si>
    <t>Set</t>
  </si>
  <si>
    <t>Diebeswerkzeug, verbessert</t>
  </si>
  <si>
    <t>Dinkel</t>
  </si>
  <si>
    <t>Dinkelbier, billig</t>
  </si>
  <si>
    <t>Dinkelbier, edel</t>
  </si>
  <si>
    <t>Dinkelbier, gut</t>
  </si>
  <si>
    <t>Dinkelschnaps, billig</t>
  </si>
  <si>
    <t>Dinkelschnaps, edel</t>
  </si>
  <si>
    <t>Dinkelschnaps, gut</t>
  </si>
  <si>
    <t>Dolchhalterung</t>
  </si>
  <si>
    <t>Dolchstiefel</t>
  </si>
  <si>
    <t>Doppelhandsäge</t>
  </si>
  <si>
    <t>Dörrobst, gemischt</t>
  </si>
  <si>
    <t>Draaf</t>
  </si>
  <si>
    <t>Dragoman</t>
  </si>
  <si>
    <t>Drakar</t>
  </si>
  <si>
    <t>Dreieckstuch</t>
  </si>
  <si>
    <t>Dreizack</t>
  </si>
  <si>
    <t>Dromone</t>
  </si>
  <si>
    <t>Drusus</t>
  </si>
  <si>
    <t>Dynalca</t>
  </si>
  <si>
    <t>Eakan</t>
  </si>
  <si>
    <t>Eber</t>
  </si>
  <si>
    <t>Ebur</t>
  </si>
  <si>
    <t>Edelsteinschleifer</t>
  </si>
  <si>
    <t>Eibe</t>
  </si>
  <si>
    <t>Eiche</t>
  </si>
  <si>
    <t>Eier, Gänse-</t>
  </si>
  <si>
    <t>Eier, Hühner-</t>
  </si>
  <si>
    <t>100 Stück</t>
  </si>
  <si>
    <t>ZUSÄTZLICH</t>
  </si>
  <si>
    <t>Eimer, Eisen</t>
  </si>
  <si>
    <t>Eimer, Holz</t>
  </si>
  <si>
    <t>ETWO</t>
  </si>
  <si>
    <t>Krieger Stufe 0</t>
  </si>
  <si>
    <t>Krieger Stufe 1</t>
  </si>
  <si>
    <t>Krieger Stufe 2</t>
  </si>
  <si>
    <t>Krieger Stufe 3</t>
  </si>
  <si>
    <t>Krieger Stufe 4</t>
  </si>
  <si>
    <t>Krieger Stufe 5</t>
  </si>
  <si>
    <t>Krieger Stufe 6</t>
  </si>
  <si>
    <t>Krieger Stufe 7</t>
  </si>
  <si>
    <t>Krieger Stufe 8</t>
  </si>
  <si>
    <t>Krieger Stufe 9</t>
  </si>
  <si>
    <t>Krieger Stufe 10</t>
  </si>
  <si>
    <t>Krieger Stufe 11</t>
  </si>
  <si>
    <t>Krieger Stufe 12</t>
  </si>
  <si>
    <t>Krieger Stufe 13</t>
  </si>
  <si>
    <t>Krieger Stufe 14</t>
  </si>
  <si>
    <t>Krieger Stufe 15</t>
  </si>
  <si>
    <t>Krieger Stufe 16</t>
  </si>
  <si>
    <t>Krieger Stufe 17</t>
  </si>
  <si>
    <t>Krieger Stufe 18</t>
  </si>
  <si>
    <t>Krieger Stufe 19</t>
  </si>
  <si>
    <t>Krieger Stufe 20 und +</t>
  </si>
  <si>
    <t>Magier Stufe 1</t>
  </si>
  <si>
    <t>Magier Stufe 2</t>
  </si>
  <si>
    <t>Magier Stufe 3</t>
  </si>
  <si>
    <t>Magier Stufe 4</t>
  </si>
  <si>
    <t>Magier Stufe 5</t>
  </si>
  <si>
    <t>Magier Stufe 6</t>
  </si>
  <si>
    <t>Magier Stufe 7</t>
  </si>
  <si>
    <t>Magier Stufe 8</t>
  </si>
  <si>
    <t>Magier Stufe 9</t>
  </si>
  <si>
    <t>Magier Stufe 10</t>
  </si>
  <si>
    <t>Magier Stufe 11</t>
  </si>
  <si>
    <t>Magier Stufe 12</t>
  </si>
  <si>
    <t>Magier Stufe 13</t>
  </si>
  <si>
    <t>Magier Stufe 14</t>
  </si>
  <si>
    <t>Magier Stufe 15</t>
  </si>
  <si>
    <t>Magier Stufe 16</t>
  </si>
  <si>
    <t>Magier Stufe 17</t>
  </si>
  <si>
    <t>Magier Stufe 18</t>
  </si>
  <si>
    <t>Magier Stufe 19</t>
  </si>
  <si>
    <t>Magier Stufe 20 und +</t>
  </si>
  <si>
    <t>Priester Stufe 1</t>
  </si>
  <si>
    <t>Priester Stufe 2</t>
  </si>
  <si>
    <t>Priester Stufe 3</t>
  </si>
  <si>
    <t>Priester Stufe 4</t>
  </si>
  <si>
    <t>Priester Stufe 5</t>
  </si>
  <si>
    <t>Priester Stufe 6</t>
  </si>
  <si>
    <t>Priester Stufe 7</t>
  </si>
  <si>
    <t>Priester Stufe 8</t>
  </si>
  <si>
    <t>Priester Stufe 9</t>
  </si>
  <si>
    <t>Priester Stufe 10</t>
  </si>
  <si>
    <t>Priester Stufe 11</t>
  </si>
  <si>
    <t>Priester Stufe 12</t>
  </si>
  <si>
    <t>Priester Stufe 13</t>
  </si>
  <si>
    <t>Priester Stufe 14</t>
  </si>
  <si>
    <t>Priester Stufe 15</t>
  </si>
  <si>
    <t>Priester Stufe 16</t>
  </si>
  <si>
    <t>Priester Stufe 17</t>
  </si>
  <si>
    <t>Priester Stufe 18</t>
  </si>
  <si>
    <t>Priester Stufe 19</t>
  </si>
  <si>
    <t>Priester Stufe 20 und +</t>
  </si>
  <si>
    <t>Spitzbube Stufe 1</t>
  </si>
  <si>
    <t>Spitzbube Stufe 2</t>
  </si>
  <si>
    <t>Spitzbube Stufe 3</t>
  </si>
  <si>
    <t>Spitzbube Stufe 4</t>
  </si>
  <si>
    <t>Spitzbube Stufe 5</t>
  </si>
  <si>
    <t>Spitzbube Stufe 6</t>
  </si>
  <si>
    <t>Spitzbube Stufe 7</t>
  </si>
  <si>
    <t>Spitzbube Stufe 8</t>
  </si>
  <si>
    <t>Spitzbube Stufe 9</t>
  </si>
  <si>
    <t>Spitzbube Stufe 10</t>
  </si>
  <si>
    <t>Spitzbube Stufe 11</t>
  </si>
  <si>
    <t>Spitzbube Stufe 12</t>
  </si>
  <si>
    <t>Spitzbube Stufe 13</t>
  </si>
  <si>
    <t>Spitzbube Stufe 14</t>
  </si>
  <si>
    <t>Spitzbube Stufe 15</t>
  </si>
  <si>
    <t>Spitzbube Stufe 16</t>
  </si>
  <si>
    <t>Spitzbube Stufe 17</t>
  </si>
  <si>
    <t>Spitzbube Stufe 18</t>
  </si>
  <si>
    <t>Spitzbube Stufe 19</t>
  </si>
  <si>
    <t>Spitzbube Stufe 20 und +</t>
  </si>
  <si>
    <t>Anzeige</t>
  </si>
  <si>
    <t>TREFFERWURF MODIFIKATION</t>
  </si>
  <si>
    <t>Situation</t>
  </si>
  <si>
    <t>Angreifer steht oberhalb des Gegners</t>
  </si>
  <si>
    <t>Angriff von hinten</t>
  </si>
  <si>
    <t>Fernkampf über mittlere Entfernung</t>
  </si>
  <si>
    <t>Fernkampf über grosse Entfernung</t>
  </si>
  <si>
    <t>Verteidiger ist aus dem Gleichgewicht geraten</t>
  </si>
  <si>
    <t>Verteidiger ist benommen  oder liegt am Boden</t>
  </si>
  <si>
    <t>Verteidiger ist unsichtbar</t>
  </si>
  <si>
    <t>Verteidiger schläft oder wird festgehalten</t>
  </si>
  <si>
    <t>Verteidiger wurde überrascht</t>
  </si>
  <si>
    <t>Modifikation</t>
  </si>
  <si>
    <t>Automatisch</t>
  </si>
  <si>
    <t>INITIATIVE - Grundmodifikationen</t>
  </si>
  <si>
    <t>Umstand</t>
  </si>
  <si>
    <t>Unter der Wirkung des Zaubers HAST</t>
  </si>
  <si>
    <t>Unter der Wirkung des Zaubers VERLANGSAMEN</t>
  </si>
  <si>
    <t>Oberhalb des Gegners stehend</t>
  </si>
  <si>
    <t>Auf Abwehr eines Sturmangriffs vorbereitet</t>
  </si>
  <si>
    <t>In flachem Wasser oder auf rutschigem Grund stehend</t>
  </si>
  <si>
    <t>In tiefem Wasser stehend</t>
  </si>
  <si>
    <t>In fremder Umgebung</t>
  </si>
  <si>
    <t>Behindert (verheddert, festgehalten oder kletternd)</t>
  </si>
  <si>
    <t>Abwartend</t>
  </si>
  <si>
    <t>WAFFE</t>
  </si>
  <si>
    <t>Waffenfertig
keitspkt.</t>
  </si>
  <si>
    <t>andere
Fertigkeiten</t>
  </si>
  <si>
    <t>Abzug</t>
  </si>
  <si>
    <t>MEHRFACHANGRIFFE FÜR SPEZIALISTEN</t>
  </si>
  <si>
    <t>Nahkampfwaf.</t>
  </si>
  <si>
    <t>Leichte
Armbrust</t>
  </si>
  <si>
    <t>Schwere
Armbrust</t>
  </si>
  <si>
    <t>Wurfdolch</t>
  </si>
  <si>
    <t>andere
Fernwaffen (ohne Bogen)</t>
  </si>
  <si>
    <t>3/2</t>
  </si>
  <si>
    <t>2/1</t>
  </si>
  <si>
    <t>5/2</t>
  </si>
  <si>
    <t>1/1</t>
  </si>
  <si>
    <t>1/2</t>
  </si>
  <si>
    <t>3/1</t>
  </si>
  <si>
    <t>4/1</t>
  </si>
  <si>
    <t>5/1</t>
  </si>
  <si>
    <t>6/1</t>
  </si>
  <si>
    <t>5/3</t>
  </si>
  <si>
    <t>2/2</t>
  </si>
  <si>
    <t>3/3</t>
  </si>
  <si>
    <t>6/2</t>
  </si>
  <si>
    <t>5/4</t>
  </si>
  <si>
    <t>2/3</t>
  </si>
  <si>
    <t>3/4</t>
  </si>
  <si>
    <t>6/3</t>
  </si>
  <si>
    <t>5/5</t>
  </si>
  <si>
    <t>2/4</t>
  </si>
  <si>
    <t>3/5</t>
  </si>
  <si>
    <t>6/4</t>
  </si>
  <si>
    <t>5/6</t>
  </si>
  <si>
    <t>2/5</t>
  </si>
  <si>
    <t>3/6</t>
  </si>
  <si>
    <t>6/5</t>
  </si>
  <si>
    <t>5/7</t>
  </si>
  <si>
    <t>2/6</t>
  </si>
  <si>
    <t>3/7</t>
  </si>
  <si>
    <t>6/6</t>
  </si>
  <si>
    <t>5/8</t>
  </si>
  <si>
    <t>2/7</t>
  </si>
  <si>
    <t>3/8</t>
  </si>
  <si>
    <t>6/7</t>
  </si>
  <si>
    <t>5/9</t>
  </si>
  <si>
    <t>2/8</t>
  </si>
  <si>
    <t>3/9</t>
  </si>
  <si>
    <t>6/8</t>
  </si>
  <si>
    <t>4/2</t>
  </si>
  <si>
    <t>1/3</t>
  </si>
  <si>
    <t>4/3</t>
  </si>
  <si>
    <t>1/4</t>
  </si>
  <si>
    <t>4/4</t>
  </si>
  <si>
    <t>1/5</t>
  </si>
  <si>
    <t>4/5</t>
  </si>
  <si>
    <t>1/6</t>
  </si>
  <si>
    <t>4/6</t>
  </si>
  <si>
    <t>ART</t>
  </si>
  <si>
    <t>GEWICHT</t>
  </si>
  <si>
    <t>GRÖSSE</t>
  </si>
  <si>
    <t>WIRK-WEISE</t>
  </si>
  <si>
    <t>K-M</t>
  </si>
  <si>
    <t>Armbrust, leichte</t>
  </si>
  <si>
    <t>Armbrust, schwere</t>
  </si>
  <si>
    <t>Blasrohr (Pfeil mit Widerhaken)</t>
  </si>
  <si>
    <t>Blasrohr( Nadel)</t>
  </si>
  <si>
    <t>Komposit-Kurzbogen (mit Flugpfeil)</t>
  </si>
  <si>
    <t>Kurzbogen (mit Flugpfeil)</t>
  </si>
  <si>
    <t>Langbogen (mit Flugpfeil)</t>
  </si>
  <si>
    <t>Langbogen (mit Kriegspfeil)</t>
  </si>
  <si>
    <t>Komposit-Langbogen (mit Flugpfeil)</t>
  </si>
  <si>
    <t>Komposit-Langbogen (mit Kriegspfeil)</t>
  </si>
  <si>
    <t>Flegel für Fussvolk</t>
  </si>
  <si>
    <t>Geissel</t>
  </si>
  <si>
    <t>Bauernspiess</t>
  </si>
  <si>
    <t>Stecken</t>
  </si>
  <si>
    <t>Lanze f.le. Streitross</t>
  </si>
  <si>
    <t>Lanze f.mi. Streitross</t>
  </si>
  <si>
    <t>Lanze f.schw.Streitross</t>
  </si>
  <si>
    <t>Turnierlanze</t>
  </si>
  <si>
    <t>Schleuder (mit Schleuderstein)</t>
  </si>
  <si>
    <t>Schleuder (mit Schleuderkugel)</t>
  </si>
  <si>
    <t>Stabschleuder (mit Schleuderkugel)</t>
  </si>
  <si>
    <t>Stabschleuder (mit Schleuderstein)</t>
  </si>
  <si>
    <t>SCHADEN einhändig</t>
  </si>
  <si>
    <t>SCHADEN beidhändig</t>
  </si>
  <si>
    <t>INIT. Beidhändig</t>
  </si>
  <si>
    <t>INIT. Einhändig</t>
  </si>
  <si>
    <t>Ahlspiess</t>
  </si>
  <si>
    <t>Knebelspiess</t>
  </si>
  <si>
    <t>0,5</t>
  </si>
  <si>
    <t>Mod. GE</t>
  </si>
  <si>
    <t>Mod. WE</t>
  </si>
  <si>
    <t>Fertigkeitspunkte</t>
  </si>
  <si>
    <t>---</t>
  </si>
  <si>
    <t>Eimer, Leder</t>
  </si>
  <si>
    <t>Einbrecherkleider</t>
  </si>
  <si>
    <t>Einfache Bedienstete, angelernt</t>
  </si>
  <si>
    <t>Einfache Bedienstete, gelernt</t>
  </si>
  <si>
    <t>Einfache Bedienstete, ungelernt</t>
  </si>
  <si>
    <t>Einfache Robe, Filz</t>
  </si>
  <si>
    <t>Einfache Robe, Flachs</t>
  </si>
  <si>
    <t>Einfache Robe, Leinen</t>
  </si>
  <si>
    <t>Einfache Robe, Samt</t>
  </si>
  <si>
    <t>Einfache Robe, Seide</t>
  </si>
  <si>
    <t>Einfache Robe, Tuch</t>
  </si>
  <si>
    <t>Einnahmekohle</t>
  </si>
  <si>
    <t xml:space="preserve">Eisen </t>
  </si>
  <si>
    <t>Eisenerz</t>
  </si>
  <si>
    <t>Eisengeschirr</t>
  </si>
  <si>
    <t>Eisenmünze</t>
  </si>
  <si>
    <t>Eisenpfanne, 20cm Durchmesser</t>
  </si>
  <si>
    <t>Eisenpfanne, 35cm Durchmesser</t>
  </si>
  <si>
    <t>Eisenteil</t>
  </si>
  <si>
    <t>Eisentopf, 10 Liter</t>
  </si>
  <si>
    <t>Eisenwürfel, gezinkt</t>
  </si>
  <si>
    <t>Elefant</t>
  </si>
  <si>
    <t>Elefantenhaut</t>
  </si>
  <si>
    <t>Elfenbein</t>
  </si>
  <si>
    <t>Elfenkettenhemd</t>
  </si>
  <si>
    <t xml:space="preserve">Elfenmantel </t>
  </si>
  <si>
    <t>Ellbogenpike</t>
  </si>
  <si>
    <t>Emaillegeschirr</t>
  </si>
  <si>
    <t>Emailleur</t>
  </si>
  <si>
    <t>Enterbolzen, groß</t>
  </si>
  <si>
    <t>Enterbolzen, klein</t>
  </si>
  <si>
    <t>Enterhaken</t>
  </si>
  <si>
    <t>Enterpfeil, groß</t>
  </si>
  <si>
    <t>Enterpfeil, klein</t>
  </si>
  <si>
    <t>Erbsen</t>
  </si>
  <si>
    <t>Erdbeeren</t>
  </si>
  <si>
    <t>Erdbeerwein, billig</t>
  </si>
  <si>
    <t>Erdbeerwein, edel</t>
  </si>
  <si>
    <t>Erdbeerwein, gut</t>
  </si>
  <si>
    <t>Erdnüsse</t>
  </si>
  <si>
    <t>Erle</t>
  </si>
  <si>
    <t>Esche</t>
  </si>
  <si>
    <t>Esel</t>
  </si>
  <si>
    <t>Eselsfleisch</t>
  </si>
  <si>
    <t>Espe</t>
  </si>
  <si>
    <t>Eßbesteck, Gold</t>
  </si>
  <si>
    <t>Eßbesteck, Silber</t>
  </si>
  <si>
    <t>Eßbesteck, Zinn</t>
  </si>
  <si>
    <t>Fackel</t>
  </si>
  <si>
    <t>Fackelträger</t>
  </si>
  <si>
    <t>Falke, abgerichtet</t>
  </si>
  <si>
    <t>Falle, groß</t>
  </si>
  <si>
    <t>Falle, klein</t>
  </si>
  <si>
    <t>Fallensteller</t>
  </si>
  <si>
    <t>Falsche Messerscheide</t>
  </si>
  <si>
    <t>Färber</t>
  </si>
  <si>
    <t>Faß, 100 Liter</t>
  </si>
  <si>
    <t>Faß, 1000 Liter</t>
  </si>
  <si>
    <t>Faß, 200 Liter</t>
  </si>
  <si>
    <t>Faß, 500 Liter</t>
  </si>
  <si>
    <t>Fäßchen, 10 Liter</t>
  </si>
  <si>
    <t>Fäßchen, 20 Liter</t>
  </si>
  <si>
    <t>Fäßchen, 50 Liter</t>
  </si>
  <si>
    <t>Fäustlinge, Fell</t>
  </si>
  <si>
    <t>Fäustlinge, Leder</t>
  </si>
  <si>
    <t>Fäustlinge, Tuch</t>
  </si>
  <si>
    <t>Fäustlinge, Wildleder</t>
  </si>
  <si>
    <t>SPRACHEN</t>
  </si>
  <si>
    <t>Febfendu</t>
  </si>
  <si>
    <t>Feigen</t>
  </si>
  <si>
    <t>Feldflasche, Leder</t>
  </si>
  <si>
    <t>Feldflasche, Messing</t>
  </si>
  <si>
    <t>Feldflasche, Zinn</t>
  </si>
  <si>
    <t>Feldharnisch</t>
  </si>
  <si>
    <t>Felmster</t>
  </si>
  <si>
    <t>Fernrohr</t>
  </si>
  <si>
    <t>Feuerholz</t>
  </si>
  <si>
    <t>Tag</t>
  </si>
  <si>
    <t>Feuermachzeug</t>
  </si>
  <si>
    <t>Kästchen</t>
  </si>
  <si>
    <t>Feueropal</t>
  </si>
  <si>
    <t>Fichte</t>
  </si>
  <si>
    <t>Filz</t>
  </si>
  <si>
    <t>Fischer</t>
  </si>
  <si>
    <t>Flachs</t>
  </si>
  <si>
    <t>Fladenbrot, einfach</t>
  </si>
  <si>
    <t>Fladenbrot, gewürzt</t>
  </si>
  <si>
    <t>Flaschenzug</t>
  </si>
  <si>
    <t>Flegel, Fußvolk-</t>
  </si>
  <si>
    <t>Flegel, Reiter-</t>
  </si>
  <si>
    <t>Fleischermesser</t>
  </si>
  <si>
    <t>Florett</t>
  </si>
  <si>
    <t>Floß</t>
  </si>
  <si>
    <t>Föhre</t>
  </si>
  <si>
    <t>Forellen</t>
  </si>
  <si>
    <t>Förster</t>
  </si>
  <si>
    <t>Früchtebrot, billig</t>
  </si>
  <si>
    <t>Früchtebrot, gut</t>
  </si>
  <si>
    <t>Fruchtsirup, billig</t>
  </si>
  <si>
    <t>Fruchtsirup, edel</t>
  </si>
  <si>
    <t>Fruchtsirup, exquisit</t>
  </si>
  <si>
    <t>Fruchtsirup, gut</t>
  </si>
  <si>
    <t>Fuchspelz</t>
  </si>
  <si>
    <t>Fuhrknecht</t>
  </si>
  <si>
    <t>Fuhrknecht mit Floß</t>
  </si>
  <si>
    <t>Fuhrknecht mit Wagen</t>
  </si>
  <si>
    <t>Führleine</t>
  </si>
  <si>
    <t>Fuhrmann</t>
  </si>
  <si>
    <t>Fuhrmann mit Floß</t>
  </si>
  <si>
    <t>Fuhrmann mit Wagen</t>
  </si>
  <si>
    <t>Futteral, Gold</t>
  </si>
  <si>
    <t>Futteral, Leder</t>
  </si>
  <si>
    <t>Futteral, Leichtholz</t>
  </si>
  <si>
    <t>Futteral, Leichtmetall</t>
  </si>
  <si>
    <t>Futteral, Rotgold</t>
  </si>
  <si>
    <t>Futteral, Silber</t>
  </si>
  <si>
    <t>Futteral, Tuch</t>
  </si>
  <si>
    <t>Gabelsense</t>
  </si>
  <si>
    <t>Galeere</t>
  </si>
  <si>
    <t>Galeerenruder</t>
  </si>
  <si>
    <t>Galenaana</t>
  </si>
  <si>
    <t>Galleone</t>
  </si>
  <si>
    <t>Gans</t>
  </si>
  <si>
    <t>Gärtner</t>
  </si>
  <si>
    <t>Gärtnermeister</t>
  </si>
  <si>
    <t>Gebäck, billig</t>
  </si>
  <si>
    <t>Gebäck, edel</t>
  </si>
  <si>
    <t>flaches Wasser oder auf rutschiger Grund</t>
  </si>
  <si>
    <t>Behindert (verheddert, festgehalten o. kletternd)</t>
  </si>
  <si>
    <t>INITIATIVE - GRUNDMODIFIKATIONEN</t>
  </si>
  <si>
    <t>Gebäck, exquisit</t>
  </si>
  <si>
    <t>Gebäck, gut</t>
  </si>
  <si>
    <t>Gebiß und Zaumzeug</t>
  </si>
  <si>
    <t>Gedörrtes</t>
  </si>
  <si>
    <t>Gefuul</t>
  </si>
  <si>
    <t>Geißel</t>
  </si>
  <si>
    <t>Gelehrter</t>
  </si>
  <si>
    <t>Generalschlüssel</t>
  </si>
  <si>
    <t>Gerber</t>
  </si>
  <si>
    <t>Gerbsäure</t>
  </si>
  <si>
    <t>Gerste</t>
  </si>
  <si>
    <t>Gerstenbier, billig</t>
  </si>
  <si>
    <t>Gerstenbier, edel</t>
  </si>
  <si>
    <t>Gerstenbier, gut</t>
  </si>
  <si>
    <t>Gerstenbrot</t>
  </si>
  <si>
    <t>Gesichtsschwärze</t>
  </si>
  <si>
    <t>Gewandnadel, Gold</t>
  </si>
  <si>
    <t>Gewandnadel, Silber</t>
  </si>
  <si>
    <t>Gewandnadel, Stahl</t>
  </si>
  <si>
    <t>Gewichte</t>
  </si>
  <si>
    <t>10 Stück</t>
  </si>
  <si>
    <t>Gewürze, ausgefallen</t>
  </si>
  <si>
    <t>Gewürze, exotisch</t>
  </si>
  <si>
    <t>Gewürze, selten</t>
  </si>
  <si>
    <t>Glasbläser</t>
  </si>
  <si>
    <t>Glasbläsermeister</t>
  </si>
  <si>
    <t>Glaser</t>
  </si>
  <si>
    <t>Glasermeister</t>
  </si>
  <si>
    <t>Glasflasche, 1 Liter</t>
  </si>
  <si>
    <t>Glasflasche, 5 Liter</t>
  </si>
  <si>
    <t>Glaskaraffe</t>
  </si>
  <si>
    <t>Glasschneider</t>
  </si>
  <si>
    <t>Glasteil</t>
  </si>
  <si>
    <t>Glefe</t>
  </si>
  <si>
    <t>Glocke, groß</t>
  </si>
  <si>
    <t>Glocke, Kirch-</t>
  </si>
  <si>
    <t>Glocke, klein</t>
  </si>
  <si>
    <t>Glocke, Nebel-</t>
  </si>
  <si>
    <t>Gnomenarbeiterrüstung</t>
  </si>
  <si>
    <t>Gnomenumhang</t>
  </si>
  <si>
    <t>Gold</t>
  </si>
  <si>
    <t>Golderz</t>
  </si>
  <si>
    <t>Goldschmied</t>
  </si>
  <si>
    <t>Goldschmiedmeister</t>
  </si>
  <si>
    <t>Gorüg</t>
  </si>
  <si>
    <t>Granat</t>
  </si>
  <si>
    <t>Griechisches Feuer</t>
  </si>
  <si>
    <t>Grobzucker</t>
  </si>
  <si>
    <t>Großkatze, abgerichtet</t>
  </si>
  <si>
    <t>Großschuhe</t>
  </si>
  <si>
    <t>Grünkohl</t>
  </si>
  <si>
    <t>Gurken</t>
  </si>
  <si>
    <t>Gürtel, einfach</t>
  </si>
  <si>
    <t>Gürtel, Schmuck</t>
  </si>
  <si>
    <t>Gürtel, Schmuck-</t>
  </si>
  <si>
    <t>Gylwin</t>
  </si>
  <si>
    <t>Hafer</t>
  </si>
  <si>
    <t>Haifischfleisch</t>
  </si>
  <si>
    <t>Haken</t>
  </si>
  <si>
    <t>Hakenhaut</t>
  </si>
  <si>
    <t>Hakensense</t>
  </si>
  <si>
    <t>Hämatit</t>
  </si>
  <si>
    <t>Hammelfleisch</t>
  </si>
  <si>
    <t>Hammer</t>
  </si>
  <si>
    <t>Hammer, Schmiede-</t>
  </si>
  <si>
    <t>Hammer, Vorschlag-</t>
  </si>
  <si>
    <t>Handarmbrust</t>
  </si>
  <si>
    <t>Handaxt</t>
  </si>
  <si>
    <t>Handbeil</t>
  </si>
  <si>
    <t>Handbohrer</t>
  </si>
  <si>
    <t>Handbüchse</t>
  </si>
  <si>
    <t>Händlerwaage</t>
  </si>
  <si>
    <t>Handpike</t>
  </si>
  <si>
    <t>Handschuhe, Brokat</t>
  </si>
  <si>
    <t>Handschuhe, Fell</t>
  </si>
  <si>
    <t>Handschuhe, Leder</t>
  </si>
  <si>
    <t>Handschuhe, Leinen</t>
  </si>
  <si>
    <t>Handschuhe, Samt</t>
  </si>
  <si>
    <t>Handschuhe, Seide</t>
  </si>
  <si>
    <t>Handschuhe, Tuch</t>
  </si>
  <si>
    <t>Handschuhe, Wildleder</t>
  </si>
  <si>
    <t>Handwärmlampe</t>
  </si>
  <si>
    <t>Hanf</t>
  </si>
  <si>
    <t>Hanföl</t>
  </si>
  <si>
    <t>Hanfseil</t>
  </si>
  <si>
    <t>15 Meter</t>
  </si>
  <si>
    <t>Hanfy</t>
  </si>
  <si>
    <t>Harpune</t>
  </si>
  <si>
    <t>Hartkäse, billig</t>
  </si>
  <si>
    <t>Hartkäse, gut</t>
  </si>
  <si>
    <t>Hartwurst, billig</t>
  </si>
  <si>
    <t>Hartwurst, gut</t>
  </si>
  <si>
    <t>Haselnüsse</t>
  </si>
  <si>
    <t>Hasenfell</t>
  </si>
  <si>
    <t>Heckenschere</t>
  </si>
  <si>
    <t>Heiliger Gegenstand</t>
  </si>
  <si>
    <t>Heiliges Wasser</t>
  </si>
  <si>
    <t>Heißwasserboiler</t>
  </si>
  <si>
    <t>Helmbarde</t>
  </si>
  <si>
    <t>Helmbarte</t>
  </si>
  <si>
    <t>Hemd, Atlas</t>
  </si>
  <si>
    <t>Hemd, Brokat</t>
  </si>
  <si>
    <t>Hemd, Fell</t>
  </si>
  <si>
    <t>Hemd, Filz</t>
  </si>
  <si>
    <t>Hemd, Flachs</t>
  </si>
  <si>
    <t>Hemd, Leinen</t>
  </si>
  <si>
    <t>Hemd, Loden</t>
  </si>
  <si>
    <t>Hemd, Samt</t>
  </si>
  <si>
    <t>Hemd, Seide</t>
  </si>
  <si>
    <t>Hemd, Tuch</t>
  </si>
  <si>
    <t>Hering, Holz-</t>
  </si>
  <si>
    <t>Hering, Metall-</t>
  </si>
  <si>
    <t>Heringe</t>
  </si>
  <si>
    <t>Hermelin</t>
  </si>
  <si>
    <t>Herold</t>
  </si>
  <si>
    <t>Hirschleder</t>
  </si>
  <si>
    <t>Hirse</t>
  </si>
  <si>
    <t>Hirsebrot</t>
  </si>
  <si>
    <t>Holzbeißer</t>
  </si>
  <si>
    <t>Holzfeile</t>
  </si>
  <si>
    <t>Holzgefäß</t>
  </si>
  <si>
    <t>Holzkohle</t>
  </si>
  <si>
    <t>Tonne</t>
  </si>
  <si>
    <t>Holzschiene</t>
  </si>
  <si>
    <t>Holzteil</t>
  </si>
  <si>
    <t>Honig, Bienen-</t>
  </si>
  <si>
    <t>Honig, Reinnektar-</t>
  </si>
  <si>
    <t>Honigmelone</t>
  </si>
  <si>
    <t>Honigschnaps, billig</t>
  </si>
  <si>
    <t>Honigschnaps, edel</t>
  </si>
  <si>
    <t>Honigschnaps, exquisit</t>
  </si>
  <si>
    <t>Honigschnaps, gut</t>
  </si>
  <si>
    <t>Honigwein, billig</t>
  </si>
  <si>
    <t>Honigwein, edel</t>
  </si>
  <si>
    <t>Honigwein, exquisit</t>
  </si>
  <si>
    <t>Honigwein, gut</t>
  </si>
  <si>
    <t>Hopfen</t>
  </si>
  <si>
    <t>Hopfenbier, billig</t>
  </si>
  <si>
    <t>Hopfenbier, edel</t>
  </si>
  <si>
    <t>Hopfenbier, gut</t>
  </si>
  <si>
    <t>Hörrohr</t>
  </si>
  <si>
    <t>Hose, Atlas</t>
  </si>
  <si>
    <t>Hose, Brokat</t>
  </si>
  <si>
    <t>Hose, Fell</t>
  </si>
  <si>
    <t>Hose, Filz</t>
  </si>
  <si>
    <t>Hose, Flachs</t>
  </si>
  <si>
    <t>Hose, Leder</t>
  </si>
  <si>
    <t>Hose, Leinen</t>
  </si>
  <si>
    <t>Hose, Samt</t>
  </si>
  <si>
    <t>Hose, Seide</t>
  </si>
  <si>
    <t>Hose, Tuch</t>
  </si>
  <si>
    <t>Hose, Wildleder</t>
  </si>
  <si>
    <t>Hufeisen</t>
  </si>
  <si>
    <t>Hufnägel</t>
  </si>
  <si>
    <t>Hufschmied</t>
  </si>
  <si>
    <t>Huhn</t>
  </si>
  <si>
    <t>Hundepfeffer</t>
  </si>
  <si>
    <t>Hut, Bast</t>
  </si>
  <si>
    <t>Hut, Filz</t>
  </si>
  <si>
    <t>Hut, Leder</t>
  </si>
  <si>
    <t>Hut, Stroh</t>
  </si>
  <si>
    <t>Hut, Tuch</t>
  </si>
  <si>
    <t>Hyazinth</t>
  </si>
  <si>
    <t>Infanterieoffizier</t>
  </si>
  <si>
    <t>Infanterist, leicht</t>
  </si>
  <si>
    <t>Infanterist, mittelschwer</t>
  </si>
  <si>
    <t>Infanterist, schwer</t>
  </si>
  <si>
    <t>Ingenieur</t>
  </si>
  <si>
    <t>Ingenieurmeister</t>
  </si>
  <si>
    <t>Instrument</t>
  </si>
  <si>
    <t>Instrumentenbaumeister</t>
  </si>
  <si>
    <t>Jacke, Atlas</t>
  </si>
  <si>
    <t>Jacke, Brokat</t>
  </si>
  <si>
    <t>Jacke, Fell</t>
  </si>
  <si>
    <t>Jacke, Filz</t>
  </si>
  <si>
    <t>Jacke, Flachs</t>
  </si>
  <si>
    <t>Jacke, Leder</t>
  </si>
  <si>
    <t>Jacke, Leinen</t>
  </si>
  <si>
    <t>Jacke, Loden</t>
  </si>
  <si>
    <t>Jacke, Samt</t>
  </si>
  <si>
    <t>Jacke, Seide</t>
  </si>
  <si>
    <t>Jacke, Tuch</t>
  </si>
  <si>
    <t>Jacke, Wildleder</t>
  </si>
  <si>
    <t>Jade</t>
  </si>
  <si>
    <t>Jagdfalle</t>
  </si>
  <si>
    <t>Jagdhund</t>
  </si>
  <si>
    <t>Jagdmesser</t>
  </si>
  <si>
    <t>Jäger</t>
  </si>
  <si>
    <t>Jägermeister</t>
  </si>
  <si>
    <t>Jaguarfell</t>
  </si>
  <si>
    <t>Jegge</t>
  </si>
  <si>
    <t>Jitsu</t>
  </si>
  <si>
    <t>Jitte</t>
  </si>
  <si>
    <t>Joch für Ochsen</t>
  </si>
  <si>
    <t>Joch für Pferde</t>
  </si>
  <si>
    <t>Jojojopo</t>
  </si>
  <si>
    <t>Jonglierkeule</t>
  </si>
  <si>
    <t>Juth</t>
  </si>
  <si>
    <t>Juwelier</t>
  </si>
  <si>
    <t>Käfig, groß</t>
  </si>
  <si>
    <t>Käfig, klein</t>
  </si>
  <si>
    <t>Kalb</t>
  </si>
  <si>
    <t>Kamel</t>
  </si>
  <si>
    <t>Kampfhund</t>
  </si>
  <si>
    <t>Kanu, klein</t>
  </si>
  <si>
    <t>Kanu, Kriegs-</t>
  </si>
  <si>
    <t>Kapaun</t>
  </si>
  <si>
    <t>Kapuzenumhang, Atlas</t>
  </si>
  <si>
    <t>Kapuzenumhang, Brokat</t>
  </si>
  <si>
    <t>Kapuzenumhang, Fell</t>
  </si>
  <si>
    <t>Kapuzenumhang, Filz</t>
  </si>
  <si>
    <t>Kapuzenumhang, Leder</t>
  </si>
  <si>
    <t>Kapuzenumhang, Leinen</t>
  </si>
  <si>
    <t>Kapuzenumhang, Loden</t>
  </si>
  <si>
    <t>Kapuzenumhang, Tuch</t>
  </si>
  <si>
    <t>Kapuzenumhang, Wildleder</t>
  </si>
  <si>
    <t>Karavelle</t>
  </si>
  <si>
    <t>Karfar</t>
  </si>
  <si>
    <t>Karneol</t>
  </si>
  <si>
    <t>Karten, gezinkt</t>
  </si>
  <si>
    <t>Kartoffeln</t>
  </si>
  <si>
    <t>Kartoffelschnaps, billig</t>
  </si>
  <si>
    <t>Kartoffelschnaps, edel</t>
  </si>
  <si>
    <t>RETTUNGWÜRFE</t>
  </si>
  <si>
    <t>Klasse und Stufe</t>
  </si>
  <si>
    <t>L,G,T</t>
  </si>
  <si>
    <t>ZS,ST,Ru</t>
  </si>
  <si>
    <t>Verst.,Verw.</t>
  </si>
  <si>
    <t>Odem</t>
  </si>
  <si>
    <t>Krieger 0 Stufe</t>
  </si>
  <si>
    <t>Krieger 1-2 Stufe</t>
  </si>
  <si>
    <t>Krieger 3-4 Stufe</t>
  </si>
  <si>
    <t>Krieger 5-6 Stufe</t>
  </si>
  <si>
    <t>Krieger 7-8 Stufe</t>
  </si>
  <si>
    <t>Krieger 9-10 Stufe</t>
  </si>
  <si>
    <t>Krieger 11-12 Stufe</t>
  </si>
  <si>
    <t>Krieger 13-14 Stufe</t>
  </si>
  <si>
    <t>Krieger 15-16 Stufe</t>
  </si>
  <si>
    <t>Krieger 17+ Stufe</t>
  </si>
  <si>
    <t>Magier 1-5 Stufe</t>
  </si>
  <si>
    <t>Magier 6-10 Stufe</t>
  </si>
  <si>
    <t>Magier 11-15 Stufe</t>
  </si>
  <si>
    <t>Magier 16-20 Stufe</t>
  </si>
  <si>
    <t>Magier 21+ Stufe</t>
  </si>
  <si>
    <t>Priester 1-3 Stufe</t>
  </si>
  <si>
    <t>Priester 4-6 Stufe</t>
  </si>
  <si>
    <t>Priester 7-9 Stufe</t>
  </si>
  <si>
    <t>Priester 10-12 Stufe</t>
  </si>
  <si>
    <t>Priester 13-15 Stufe</t>
  </si>
  <si>
    <t>Priester 16-18 Stufe</t>
  </si>
  <si>
    <t>Priester 19+ Stufe</t>
  </si>
  <si>
    <t>Spitzbuben 1-4 Stufe</t>
  </si>
  <si>
    <t>Spitzbuben 5-8 Stufe</t>
  </si>
  <si>
    <t>Spitzbuben 9-12 Stufe</t>
  </si>
  <si>
    <t>Spitzbuben 13-16 Stufe</t>
  </si>
  <si>
    <t>Spitzbuben 17-20 Stufe</t>
  </si>
  <si>
    <t>Spitzbuben 21+ Stufe</t>
  </si>
  <si>
    <t>Klasse</t>
  </si>
  <si>
    <t>Rasse</t>
  </si>
  <si>
    <t>Halb-Drow</t>
  </si>
  <si>
    <t>Kartoffelschnaps, exquisit</t>
  </si>
  <si>
    <t>Kartoffelschnaps, gut</t>
  </si>
  <si>
    <t>Kathkusa</t>
  </si>
  <si>
    <t>Katze</t>
  </si>
  <si>
    <t>Katzenstinke</t>
  </si>
  <si>
    <t>Kavallerieoffizier</t>
  </si>
  <si>
    <t>Kavallerist, leicht</t>
  </si>
  <si>
    <t>Kavallerist, miitelschwer</t>
  </si>
  <si>
    <t>Kavallerist, schwer</t>
  </si>
  <si>
    <t>Keimöl</t>
  </si>
  <si>
    <t>Kelrentari</t>
  </si>
  <si>
    <t>Keramik</t>
  </si>
  <si>
    <t>Kernöl</t>
  </si>
  <si>
    <t xml:space="preserve">Kerze, 10 cm </t>
  </si>
  <si>
    <t>Kerze, 100 cm</t>
  </si>
  <si>
    <t>Kerze, 30 cm</t>
  </si>
  <si>
    <t>Kerzenzieher</t>
  </si>
  <si>
    <t>Kessel, email, 5 Liter</t>
  </si>
  <si>
    <t>Kesselflicker</t>
  </si>
  <si>
    <t>Kette</t>
  </si>
  <si>
    <t>Kette, dick</t>
  </si>
  <si>
    <t>Kette, dünn</t>
  </si>
  <si>
    <t>Kettenflegel</t>
  </si>
  <si>
    <t>Kettenhemd</t>
  </si>
  <si>
    <t>Khopesh</t>
  </si>
  <si>
    <t>Kiefer</t>
  </si>
  <si>
    <t>Kilmakur</t>
  </si>
  <si>
    <t>Kirschen</t>
  </si>
  <si>
    <t>Kiste, groß</t>
  </si>
  <si>
    <t>Kiste, klein</t>
  </si>
  <si>
    <t>Klageweib</t>
  </si>
  <si>
    <t>Nacht</t>
  </si>
  <si>
    <t>Klagu</t>
  </si>
  <si>
    <t>Klappspaten</t>
  </si>
  <si>
    <t>Klaubholz</t>
  </si>
  <si>
    <t>Klebepapier</t>
  </si>
  <si>
    <t>Kleber</t>
  </si>
  <si>
    <t>Anwendung</t>
  </si>
  <si>
    <t>Kleid, Atlas</t>
  </si>
  <si>
    <t>Kleid, Brokat</t>
  </si>
  <si>
    <t>Kleid, Flachs</t>
  </si>
  <si>
    <t>Kleid, Leinen</t>
  </si>
  <si>
    <t>Kleid, Loden</t>
  </si>
  <si>
    <t>Kleid, Samt</t>
  </si>
  <si>
    <t>Kleid, Satin</t>
  </si>
  <si>
    <t>Kleid, Seide</t>
  </si>
  <si>
    <t>Kleid, Tuch</t>
  </si>
  <si>
    <t>Kleiner Schild</t>
  </si>
  <si>
    <t>Kleiner Trichter</t>
  </si>
  <si>
    <t>Elfisch - lesen &amp; schreiben</t>
  </si>
  <si>
    <t>Kletterdolch</t>
  </si>
  <si>
    <t>Kletterhaken</t>
  </si>
  <si>
    <t>Klinge</t>
  </si>
  <si>
    <t>Klingenring, Eisen-</t>
  </si>
  <si>
    <t>Klingenring, Silber-</t>
  </si>
  <si>
    <t>Klingenschmied</t>
  </si>
  <si>
    <t>Klingenschmiedemeister</t>
  </si>
  <si>
    <t>Klingenstiefel</t>
  </si>
  <si>
    <t>Klinke</t>
  </si>
  <si>
    <t>Kly</t>
  </si>
  <si>
    <t>Klynn</t>
  </si>
  <si>
    <t>Knarr</t>
  </si>
  <si>
    <t>Knebelspieß</t>
  </si>
  <si>
    <t>Kniepike</t>
  </si>
  <si>
    <t>Knoblauch</t>
  </si>
  <si>
    <t>Knoblauch, wild</t>
  </si>
  <si>
    <t>Knoblauchgewürz</t>
  </si>
  <si>
    <t>Knochenwürfel, gezinkt</t>
  </si>
  <si>
    <t>Kochgeschirr, email</t>
  </si>
  <si>
    <t>Kogge</t>
  </si>
  <si>
    <t>Kohle</t>
  </si>
  <si>
    <t>Köhler</t>
  </si>
  <si>
    <t>Kokosnüsse</t>
  </si>
  <si>
    <t>Komposit-Kurzbogen</t>
  </si>
  <si>
    <t>Komposit-Langbogen</t>
  </si>
  <si>
    <t>Kopfpike</t>
  </si>
  <si>
    <t>Koralle</t>
  </si>
  <si>
    <t>Korb, groß</t>
  </si>
  <si>
    <t>Korb, klein</t>
  </si>
  <si>
    <t>Kork</t>
  </si>
  <si>
    <t>Korseke</t>
  </si>
  <si>
    <t>Krabben</t>
  </si>
  <si>
    <t>Allgemeiner Zyklus</t>
  </si>
  <si>
    <t>Astralzyklus</t>
  </si>
  <si>
    <t>Heilzyklus</t>
  </si>
  <si>
    <t>Pflanzenzyklus</t>
  </si>
  <si>
    <t>Schutzzauber</t>
  </si>
  <si>
    <t>Sonnenzyklus</t>
  </si>
  <si>
    <t>Totenzyklus</t>
  </si>
  <si>
    <t>Wetterzyklus</t>
  </si>
  <si>
    <t>Kampfzyklus</t>
  </si>
  <si>
    <t>Beschwörungszyklus</t>
  </si>
  <si>
    <t>Bezauberungzyklus</t>
  </si>
  <si>
    <t>Elementarzyklus</t>
  </si>
  <si>
    <t>Erkenntniszyklus</t>
  </si>
  <si>
    <t>Erschaffungszyklus</t>
  </si>
  <si>
    <t>Sicherungszyklus</t>
  </si>
  <si>
    <t>Tierzyklus</t>
  </si>
  <si>
    <t>Zyklus</t>
  </si>
  <si>
    <t>VERFÜGBARE ZAUBER</t>
  </si>
  <si>
    <t>Krallenhandschuhe</t>
  </si>
  <si>
    <t>Krallenschuhe</t>
  </si>
  <si>
    <t>Krankenbare</t>
  </si>
  <si>
    <t>Kräutersucher</t>
  </si>
  <si>
    <t>Bola</t>
  </si>
  <si>
    <t>Bo</t>
  </si>
  <si>
    <t>Daikyu (mit Daikyu-Pfeil)</t>
  </si>
  <si>
    <t>Dolch, Knochen-</t>
  </si>
  <si>
    <t>Dolch, Stein-</t>
  </si>
  <si>
    <t>Klampe</t>
  </si>
  <si>
    <t>Main-Gauche</t>
  </si>
  <si>
    <t xml:space="preserve">Messer, Knochen- </t>
  </si>
  <si>
    <t>Messer, Stein-</t>
  </si>
  <si>
    <t>Nunchaku</t>
  </si>
  <si>
    <t>Speer, Lang-</t>
  </si>
  <si>
    <t>Speer, Stein-</t>
  </si>
  <si>
    <t>Stilett</t>
  </si>
  <si>
    <t>Wurfspeer, Stein-</t>
  </si>
  <si>
    <t>K/S</t>
  </si>
  <si>
    <t>*</t>
  </si>
  <si>
    <t>Allgemein</t>
  </si>
  <si>
    <t>Bergbau</t>
  </si>
  <si>
    <t>Braukunst</t>
  </si>
  <si>
    <t>Feuer machen</t>
  </si>
  <si>
    <t>Fischen</t>
  </si>
  <si>
    <t>Gerberei/ Sattlerei</t>
  </si>
  <si>
    <t>Holzarbeiten</t>
  </si>
  <si>
    <t>Kochen</t>
  </si>
  <si>
    <t>Künsterlertalent</t>
  </si>
  <si>
    <t>Landwirtschaft</t>
  </si>
  <si>
    <t>Nähen/ Schneidern</t>
  </si>
  <si>
    <t>Orientierungssinn</t>
  </si>
  <si>
    <t>Reiten (am Boden)</t>
  </si>
  <si>
    <t>Reiten (in der Luft)</t>
  </si>
  <si>
    <t>Schmiedekunst</t>
  </si>
  <si>
    <t>Schustern</t>
  </si>
  <si>
    <t>Schwimmen</t>
  </si>
  <si>
    <t>Seemannschaft</t>
  </si>
  <si>
    <t>Seilkunst</t>
  </si>
  <si>
    <t>Singen</t>
  </si>
  <si>
    <t>Sprache (lebende)</t>
  </si>
  <si>
    <t>Steinarbeiten</t>
  </si>
  <si>
    <t>Tanzen</t>
  </si>
  <si>
    <t>Tiere abrichten</t>
  </si>
  <si>
    <t>Tiere führen</t>
  </si>
  <si>
    <t>Umgangsformen</t>
  </si>
  <si>
    <t>Töpferei</t>
  </si>
  <si>
    <t>Wappenkunde</t>
  </si>
  <si>
    <t>Weben</t>
  </si>
  <si>
    <t>Wetterkunde</t>
  </si>
  <si>
    <t>FERTIGKEIT</t>
  </si>
  <si>
    <t>Pkt. Kosten</t>
  </si>
  <si>
    <t>Mod.</t>
  </si>
  <si>
    <t>Krieger</t>
  </si>
  <si>
    <t>Ausdauer</t>
  </si>
  <si>
    <t>Bergsteigen</t>
  </si>
  <si>
    <t>Blind kämpfen</t>
  </si>
  <si>
    <t>Bogen und Pfeile schnitzen</t>
  </si>
  <si>
    <t>Dauerlauf</t>
  </si>
  <si>
    <t>Fallen stellen</t>
  </si>
  <si>
    <t>Jagen</t>
  </si>
  <si>
    <t>Navigation</t>
  </si>
  <si>
    <t>Spiele</t>
  </si>
  <si>
    <t>Spuren lesen</t>
  </si>
  <si>
    <t>Tierkunde</t>
  </si>
  <si>
    <t>Überleben</t>
  </si>
  <si>
    <t>Waffen schmieden</t>
  </si>
  <si>
    <t>Wagen lenken</t>
  </si>
  <si>
    <t>Altertumskunde</t>
  </si>
  <si>
    <t>Astrologie</t>
  </si>
  <si>
    <t>Edelsteine schleifen</t>
  </si>
  <si>
    <t>Lesen und schreiben</t>
  </si>
  <si>
    <t>Religionskunde</t>
  </si>
  <si>
    <t>Sprache (alte)</t>
  </si>
  <si>
    <t>Zauberkunde</t>
  </si>
  <si>
    <t>Priester</t>
  </si>
  <si>
    <t>Heilkunde</t>
  </si>
  <si>
    <t>Kräuterkunde</t>
  </si>
  <si>
    <t>Lokalgeshichte</t>
  </si>
  <si>
    <t>Musikinstrument</t>
  </si>
  <si>
    <t>Balancieren</t>
  </si>
  <si>
    <t>Bauchreden</t>
  </si>
  <si>
    <t>Fälschung</t>
  </si>
  <si>
    <t>Jonglieren</t>
  </si>
  <si>
    <t>Lippenlesen</t>
  </si>
  <si>
    <t>Schätzen</t>
  </si>
  <si>
    <t>Springen</t>
  </si>
  <si>
    <t>Turnen</t>
  </si>
  <si>
    <t>Verkleidung</t>
  </si>
  <si>
    <t>Spitzbuben</t>
  </si>
  <si>
    <t>Beobachtungsgabe</t>
  </si>
  <si>
    <t>Beredsamkeit</t>
  </si>
  <si>
    <t>Betteln</t>
  </si>
  <si>
    <t>Boote lenken</t>
  </si>
  <si>
    <t>Einschüchtern</t>
  </si>
  <si>
    <t>Nachforschen</t>
  </si>
  <si>
    <t>Schlösser schmieden</t>
  </si>
  <si>
    <t>Stimmen nachahmen</t>
  </si>
  <si>
    <t>Tierstimmen</t>
  </si>
  <si>
    <t>Verfolgen</t>
  </si>
  <si>
    <t>Wachsamkeit</t>
  </si>
  <si>
    <t>Wahrsagerei</t>
  </si>
  <si>
    <t>spez.</t>
  </si>
  <si>
    <t>Krebse</t>
  </si>
  <si>
    <t>Kreidestück</t>
  </si>
  <si>
    <t>Kriegselefant</t>
  </si>
  <si>
    <t>Kriegshammer</t>
  </si>
  <si>
    <t>Krücken</t>
  </si>
  <si>
    <t>Küfer</t>
  </si>
  <si>
    <t>Küfermeister</t>
  </si>
  <si>
    <t>Kuh</t>
  </si>
  <si>
    <t>Kuhmilch</t>
  </si>
  <si>
    <t>Kupfer</t>
  </si>
  <si>
    <t>Kupfererz</t>
  </si>
  <si>
    <t>Kupferkessel, 20 Liter</t>
  </si>
  <si>
    <t>Kürbis</t>
  </si>
  <si>
    <t>Kurzbogen</t>
  </si>
  <si>
    <t>Kurzbogenpfeil, Flugpfeil</t>
  </si>
  <si>
    <t>Küstenfahrer</t>
  </si>
  <si>
    <t>Kutsche, einfach</t>
  </si>
  <si>
    <t>Kutsche, verziert</t>
  </si>
  <si>
    <t>Lachse</t>
  </si>
  <si>
    <t>Lakritze</t>
  </si>
  <si>
    <t>Lamellenpanzer</t>
  </si>
  <si>
    <t>Lampenöl</t>
  </si>
  <si>
    <t>Landwirt</t>
  </si>
  <si>
    <t>Langbogen</t>
  </si>
  <si>
    <t>Langbogenpfeil, Daikyu-</t>
  </si>
  <si>
    <t>Langbogenpfeil, Flugpfeil</t>
  </si>
  <si>
    <t>Langbogenpfeil, Kriegspfeil</t>
  </si>
  <si>
    <t>Langbogenspezialist</t>
  </si>
  <si>
    <t>Langschiff</t>
  </si>
  <si>
    <t>Langschild</t>
  </si>
  <si>
    <t>Langschwert</t>
  </si>
  <si>
    <t>Lanze, leicht</t>
  </si>
  <si>
    <t>Lanze, mittelschwer</t>
  </si>
  <si>
    <t>Lanze, schwer</t>
  </si>
  <si>
    <t>Lanze, Turnier-</t>
  </si>
  <si>
    <t>Lapislazuli</t>
  </si>
  <si>
    <t>Lärche</t>
  </si>
  <si>
    <t>Lasso</t>
  </si>
  <si>
    <t>Laterne, Blend-</t>
  </si>
  <si>
    <t>Laterne, einfach</t>
  </si>
  <si>
    <t>Laterne, groß</t>
  </si>
  <si>
    <t>Laterne, Leuchtturm-</t>
  </si>
  <si>
    <t>Laterne, Schiffs-</t>
  </si>
  <si>
    <t>Lederpanzer</t>
  </si>
  <si>
    <t>Lederrüstung</t>
  </si>
  <si>
    <t>Lederwams, beschlagen</t>
  </si>
  <si>
    <t>Leichte Armbrust</t>
  </si>
  <si>
    <t>Leinen, ärmlich</t>
  </si>
  <si>
    <t>Leinen, edel</t>
  </si>
  <si>
    <t>Leinen, einfach</t>
  </si>
  <si>
    <t>Leinen, gut</t>
  </si>
  <si>
    <t>Leinöl</t>
  </si>
  <si>
    <t>Leinwand</t>
  </si>
  <si>
    <t>Leiter, 10 Meter</t>
  </si>
  <si>
    <t>Leiter, 3 Meter</t>
  </si>
  <si>
    <t>Letagii</t>
  </si>
  <si>
    <t>Likör, billig</t>
  </si>
  <si>
    <t>Likör, edel</t>
  </si>
  <si>
    <t>Likör, exquisit</t>
  </si>
  <si>
    <t>Likör, gut</t>
  </si>
  <si>
    <t>Linde</t>
  </si>
  <si>
    <t>Loden</t>
  </si>
  <si>
    <t>Lotosfarben</t>
  </si>
  <si>
    <t>Luzerner Hammer</t>
  </si>
  <si>
    <t>Mahagoni</t>
  </si>
  <si>
    <t>Mais</t>
  </si>
  <si>
    <t>Make-up</t>
  </si>
  <si>
    <t>Maler</t>
  </si>
  <si>
    <t>Mandeln</t>
  </si>
  <si>
    <t>Mandeln, Bitter-</t>
  </si>
  <si>
    <t>Mantel, Brokat</t>
  </si>
  <si>
    <t>Mantel, Fell</t>
  </si>
  <si>
    <t>Mantel, Filz</t>
  </si>
  <si>
    <t>Mantel, Leder</t>
  </si>
  <si>
    <t>Mantel, Leinen</t>
  </si>
  <si>
    <t>Mantel, Loden</t>
  </si>
  <si>
    <t>Mantel, Seide</t>
  </si>
  <si>
    <t>Mantel, Tuch</t>
  </si>
  <si>
    <t>Mantel, Wildleder</t>
  </si>
  <si>
    <t>Marineinfanterieoffizier</t>
  </si>
  <si>
    <t>Marineinfanterist, leicht</t>
  </si>
  <si>
    <t>Marineinfanterist, mittelschwer</t>
  </si>
  <si>
    <t>Marineinfanterist, schwer</t>
  </si>
  <si>
    <t>Marmorschneider</t>
  </si>
  <si>
    <t>Marmorschneidermeister</t>
  </si>
  <si>
    <t>Maske</t>
  </si>
  <si>
    <t>Maul</t>
  </si>
  <si>
    <t>Meeresfrüchte, gemischt</t>
  </si>
  <si>
    <t>Megillos</t>
  </si>
  <si>
    <t>Meißel</t>
  </si>
  <si>
    <t>Melachit</t>
  </si>
  <si>
    <t>Melandon</t>
  </si>
  <si>
    <t>Mernig</t>
  </si>
  <si>
    <t>Messerscheide</t>
  </si>
  <si>
    <t>Messerscheide, Leder</t>
  </si>
  <si>
    <t>Messerscheide, Stahl</t>
  </si>
  <si>
    <t>Messing</t>
  </si>
  <si>
    <t>Metallfeder</t>
  </si>
  <si>
    <t>Metallfeile</t>
  </si>
  <si>
    <t>Metallfraßsäure</t>
  </si>
  <si>
    <t>Fläschchen</t>
  </si>
  <si>
    <t>Metallschwärze</t>
  </si>
  <si>
    <t>Meteoreisen</t>
  </si>
  <si>
    <t>Metzger</t>
  </si>
  <si>
    <t>Milizoffizier</t>
  </si>
  <si>
    <t>Milizsoldat</t>
  </si>
  <si>
    <t>Miniklinge</t>
  </si>
  <si>
    <t>Mirenna</t>
  </si>
  <si>
    <t>Mistel</t>
  </si>
  <si>
    <t>Mithril</t>
  </si>
  <si>
    <t>Mithrilerz</t>
  </si>
  <si>
    <t>Mithrilsilber</t>
  </si>
  <si>
    <t>Mondstein</t>
  </si>
  <si>
    <t>Most, billig</t>
  </si>
  <si>
    <t>Most, edel</t>
  </si>
  <si>
    <t>Most, gut</t>
  </si>
  <si>
    <t>Mühlstein</t>
  </si>
  <si>
    <t>Muli</t>
  </si>
  <si>
    <t>Müller</t>
  </si>
  <si>
    <t>Münzmacher</t>
  </si>
  <si>
    <t>Murmeln</t>
  </si>
  <si>
    <t>30 Stück</t>
  </si>
  <si>
    <t>Mütze, Bast</t>
  </si>
  <si>
    <t>Mütze, Filz</t>
  </si>
  <si>
    <t>Mütze, Leder</t>
  </si>
  <si>
    <t>Mütze, Samt</t>
  </si>
  <si>
    <t>Mütze, Tuch</t>
  </si>
  <si>
    <t>Nadelmacher</t>
  </si>
  <si>
    <t>Nadelring, Eisen-</t>
  </si>
  <si>
    <t>Nadelring, Silber-</t>
  </si>
  <si>
    <t>Nägel</t>
  </si>
  <si>
    <t>Naginata</t>
  </si>
  <si>
    <t>Nähnadel, Silber</t>
  </si>
  <si>
    <t>Nähnadel, Stahl</t>
  </si>
  <si>
    <t>Naturmantel</t>
  </si>
  <si>
    <t>Nelkenöl</t>
  </si>
  <si>
    <t>Netz</t>
  </si>
  <si>
    <t>Netz, 100x100 Meter</t>
  </si>
  <si>
    <t>Netz, 10x10 Meter</t>
  </si>
  <si>
    <t>Netz, 30x30 Meter</t>
  </si>
  <si>
    <t>Netz, 3x3 Meter</t>
  </si>
  <si>
    <t>Netz, 5x5 Meter</t>
  </si>
  <si>
    <t>Neunaugen</t>
  </si>
  <si>
    <t>Nickel</t>
  </si>
  <si>
    <t>Nunchako</t>
  </si>
  <si>
    <t>Nußbaum</t>
  </si>
  <si>
    <t>Obsidian</t>
  </si>
  <si>
    <t>Obstbranntwein, billig</t>
  </si>
  <si>
    <t>Obstbranntwein, edel</t>
  </si>
  <si>
    <t>Obstbranntwein, exquisit</t>
  </si>
  <si>
    <t>Obstbranntwein, gut</t>
  </si>
  <si>
    <t>Olivin</t>
  </si>
  <si>
    <t>Onyx</t>
  </si>
  <si>
    <t>Orangen</t>
  </si>
  <si>
    <t>Orgelpfeife</t>
  </si>
  <si>
    <t>Orientalischer Amethyst</t>
  </si>
  <si>
    <t>Orientalischer Smaragd</t>
  </si>
  <si>
    <t>Orientalischer Topas</t>
  </si>
  <si>
    <t>Packsattel</t>
  </si>
  <si>
    <t>Palmbast</t>
  </si>
  <si>
    <t>Pantherfell</t>
  </si>
  <si>
    <t>Papier</t>
  </si>
  <si>
    <t>Blatt</t>
  </si>
  <si>
    <t>Pappel</t>
  </si>
  <si>
    <t>Paprika</t>
  </si>
  <si>
    <t>Paprikagewürz</t>
  </si>
  <si>
    <t>Papyrus</t>
  </si>
  <si>
    <t>Paranüsse</t>
  </si>
  <si>
    <t>Parfüm</t>
  </si>
  <si>
    <t>25 Milliliter</t>
  </si>
  <si>
    <t>Partisane</t>
  </si>
  <si>
    <t>Pech</t>
  </si>
  <si>
    <t>Pechstein</t>
  </si>
  <si>
    <t>Pergament</t>
  </si>
  <si>
    <t>Pergamentfaß</t>
  </si>
  <si>
    <t>Pergamentmacher</t>
  </si>
  <si>
    <t>Pergamentmachermeister</t>
  </si>
  <si>
    <t>Perle</t>
  </si>
  <si>
    <t>Perle, blau</t>
  </si>
  <si>
    <t>Perlhuhn</t>
  </si>
  <si>
    <t>Perlmutt</t>
  </si>
  <si>
    <t>Pfauenfedern</t>
  </si>
  <si>
    <t>Pfeffergewürz</t>
  </si>
  <si>
    <t>Pfeife, Elfenbein</t>
  </si>
  <si>
    <t>Pfeife, Holz</t>
  </si>
  <si>
    <t>Pfeife, Metall</t>
  </si>
  <si>
    <t>Pfeife, Ton</t>
  </si>
  <si>
    <t>Pfeifenkraut</t>
  </si>
  <si>
    <t>Pfeilmacher</t>
  </si>
  <si>
    <t>gg.</t>
  </si>
  <si>
    <t>BEIDHÄNDIG</t>
  </si>
  <si>
    <t>Mag. Bonus</t>
  </si>
  <si>
    <t>TYP</t>
  </si>
  <si>
    <t>WIRKUNGSWEISE</t>
  </si>
  <si>
    <t>VAMPIRJÄGER</t>
  </si>
  <si>
    <t>Pfeilmachermeister</t>
  </si>
  <si>
    <t>Pfirsiche</t>
  </si>
  <si>
    <t>Pflasterer</t>
  </si>
  <si>
    <t>Pflaumen</t>
  </si>
  <si>
    <t>Pflug</t>
  </si>
  <si>
    <t>Pinie</t>
  </si>
  <si>
    <t>Pinsel, groß</t>
  </si>
  <si>
    <t>Pinsel, klein</t>
  </si>
  <si>
    <t>Pinzette</t>
  </si>
  <si>
    <t>Platin</t>
  </si>
  <si>
    <t xml:space="preserve">Plattenpanzer </t>
  </si>
  <si>
    <t>Plattner</t>
  </si>
  <si>
    <t>Plattnermeister</t>
  </si>
  <si>
    <t>Pokal, Gold</t>
  </si>
  <si>
    <t>Pokal, Kristall</t>
  </si>
  <si>
    <t>Pokal, Silber</t>
  </si>
  <si>
    <t>Pökelfisch</t>
  </si>
  <si>
    <t>Fäßchen</t>
  </si>
  <si>
    <t>Pökelfleisch</t>
  </si>
  <si>
    <t>Polsterstoff</t>
  </si>
  <si>
    <t>Pony</t>
  </si>
  <si>
    <t>Porphyr</t>
  </si>
  <si>
    <t>Porree</t>
  </si>
  <si>
    <t>Porzellan</t>
  </si>
  <si>
    <t>Prunkharnisch</t>
  </si>
  <si>
    <t>Pumpe</t>
  </si>
  <si>
    <t>Punsch, billig</t>
  </si>
  <si>
    <t>Punsch, edel</t>
  </si>
  <si>
    <t>Punsch, gut</t>
  </si>
  <si>
    <t>Quark</t>
  </si>
  <si>
    <t>18/01</t>
  </si>
  <si>
    <t>18/02</t>
  </si>
  <si>
    <t>18/03</t>
  </si>
  <si>
    <t>18/04</t>
  </si>
  <si>
    <t>18/06</t>
  </si>
  <si>
    <t>18/05</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</si>
  <si>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</si>
  <si>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</si>
  <si>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</si>
  <si>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</si>
  <si>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</si>
  <si>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</si>
  <si>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</si>
  <si>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</si>
  <si>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</si>
  <si>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</si>
  <si>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</si>
  <si>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</si>
  <si>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</si>
  <si>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</si>
  <si>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</si>
  <si>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</si>
  <si>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</si>
  <si>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</si>
  <si>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</si>
  <si>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</si>
  <si>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</si>
  <si>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</si>
  <si>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</si>
  <si>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</si>
  <si>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</si>
  <si>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</si>
  <si>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</si>
  <si>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</si>
  <si>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</si>
  <si>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</si>
  <si>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</si>
  <si>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</si>
  <si>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</si>
  <si>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</si>
  <si>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</si>
  <si>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</si>
  <si>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</si>
  <si>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</si>
  <si>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</si>
  <si>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</si>
  <si>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</si>
  <si>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</si>
  <si>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</si>
  <si>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</si>
  <si>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</si>
  <si>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</si>
  <si>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</si>
  <si>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</si>
  <si>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</si>
  <si>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</si>
  <si>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</si>
  <si>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</si>
  <si>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</si>
  <si>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</si>
  <si>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</si>
  <si>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</si>
  <si>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</si>
  <si>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VAMPIRKLAUE</t>
  </si>
  <si>
    <t>WAHRER TOD</t>
  </si>
  <si>
    <t>SILBERDOLCH</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</si>
  <si>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</si>
  <si>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</si>
  <si>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</si>
  <si>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</si>
  <si>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</si>
  <si>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</si>
  <si>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</si>
  <si>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</si>
  <si>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</si>
  <si>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</si>
  <si>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</si>
  <si>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</si>
  <si>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</si>
  <si>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</si>
  <si>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</si>
  <si>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</si>
  <si>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</si>
  <si>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</si>
  <si>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</si>
  <si>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</si>
  <si>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</si>
  <si>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</si>
  <si>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</si>
  <si>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</si>
  <si>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</si>
  <si>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</si>
  <si>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</si>
  <si>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</si>
  <si>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</si>
  <si>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</si>
  <si>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</si>
  <si>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</si>
  <si>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</si>
  <si>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Waffenfertigkeiten</t>
  </si>
  <si>
    <t>18/97</t>
  </si>
  <si>
    <t>18/98</t>
  </si>
  <si>
    <t>18/99</t>
  </si>
  <si>
    <t>18/100</t>
  </si>
  <si>
    <t>Bermerkung</t>
  </si>
  <si>
    <t>-</t>
  </si>
  <si>
    <t>+2 (+3)</t>
  </si>
  <si>
    <t>+2 (+4)</t>
  </si>
  <si>
    <t>+2 (+5)</t>
  </si>
  <si>
    <t>+2 (+6)</t>
  </si>
  <si>
    <t>+2 (+7)</t>
  </si>
  <si>
    <t>BERMERKUNG</t>
  </si>
  <si>
    <t>Bermekung</t>
  </si>
  <si>
    <t>Quarz</t>
  </si>
  <si>
    <t>Quitten</t>
  </si>
  <si>
    <t>Quittenschnaps, billig</t>
  </si>
  <si>
    <t>Quittenschnaps, edel</t>
  </si>
  <si>
    <t>Quittenschnaps, gut</t>
  </si>
  <si>
    <t>Rabenschnabel</t>
  </si>
  <si>
    <t>Radbauer</t>
  </si>
  <si>
    <t>Rasierzeug</t>
  </si>
  <si>
    <t>Paket</t>
  </si>
  <si>
    <t>Räucherfisch</t>
  </si>
  <si>
    <t>Rauchquarz</t>
  </si>
  <si>
    <t>Rauschkraut</t>
  </si>
  <si>
    <t>Reibekäse</t>
  </si>
  <si>
    <t>Reiner Alkohol</t>
  </si>
  <si>
    <t>Reis</t>
  </si>
  <si>
    <t>Reisbrot</t>
  </si>
  <si>
    <t>Reisschnaps, billig</t>
  </si>
  <si>
    <t>WE</t>
  </si>
  <si>
    <t>IN</t>
  </si>
  <si>
    <t>ST</t>
  </si>
  <si>
    <t>GE</t>
  </si>
  <si>
    <t>CH</t>
  </si>
  <si>
    <t>KO</t>
  </si>
  <si>
    <t>ATTRIBUT</t>
  </si>
  <si>
    <t>MOD.</t>
  </si>
  <si>
    <t>PKT.-KOSTEN</t>
  </si>
  <si>
    <t>Fertigkeit</t>
  </si>
  <si>
    <t>Reisschnaps, edel</t>
  </si>
  <si>
    <t>Reisschnaps, gut</t>
  </si>
  <si>
    <t>Reiswein, billig</t>
  </si>
  <si>
    <t>Reiswein, edel</t>
  </si>
  <si>
    <t>Reiswein, gut</t>
  </si>
  <si>
    <t>Reiterstiefel, Elefantenhaut</t>
  </si>
  <si>
    <t>Reiterstiefel, Fell</t>
  </si>
  <si>
    <t>Reiterstiefel, Leder</t>
  </si>
  <si>
    <t>Reiterstiefel, Reptilleder</t>
  </si>
  <si>
    <t>Reiterstiefel, Wildleder</t>
  </si>
  <si>
    <t>Reitpferd</t>
  </si>
  <si>
    <t>Reitsattel</t>
  </si>
  <si>
    <t>Reptilleder</t>
  </si>
  <si>
    <t>Rerk</t>
  </si>
  <si>
    <t>Rhodokrosit</t>
  </si>
  <si>
    <t xml:space="preserve">Riemen </t>
  </si>
  <si>
    <t>Rindsleder</t>
  </si>
  <si>
    <t>Ringpanzer</t>
  </si>
  <si>
    <t>Robbenhäute</t>
  </si>
  <si>
    <t>Robe, Atlas</t>
  </si>
  <si>
    <t>1. Grad</t>
  </si>
  <si>
    <t>2. Grad</t>
  </si>
  <si>
    <t>3. Grad</t>
  </si>
  <si>
    <t>4. Grad</t>
  </si>
  <si>
    <t>5. Grad</t>
  </si>
  <si>
    <t>6. Grad</t>
  </si>
  <si>
    <t>7. Grad</t>
  </si>
  <si>
    <t>8. Grad</t>
  </si>
  <si>
    <t>9. Grad</t>
  </si>
  <si>
    <t>Robe, Brokat</t>
  </si>
  <si>
    <t>Robe, Filz</t>
  </si>
  <si>
    <t>Robe, Samt</t>
  </si>
  <si>
    <t>Robe, Seide</t>
  </si>
  <si>
    <t>Robe, Tuch</t>
  </si>
  <si>
    <t>Roggen</t>
  </si>
  <si>
    <t>Roggenbranntwein, billig</t>
  </si>
  <si>
    <t>Roggenbranntwein, edel</t>
  </si>
  <si>
    <t>Roggenbranntwein, gut</t>
  </si>
  <si>
    <t>Rohrzucker</t>
  </si>
  <si>
    <t>Rosenholz</t>
  </si>
  <si>
    <t>Rosenöl</t>
  </si>
  <si>
    <t>Rosenquarz</t>
  </si>
  <si>
    <t>Rosenschere</t>
  </si>
  <si>
    <t>Rosewein, billig</t>
  </si>
  <si>
    <t>Rosewein, edel</t>
  </si>
  <si>
    <t>Zugriff</t>
  </si>
  <si>
    <t>Voll</t>
  </si>
  <si>
    <t>bis 3. Grad</t>
  </si>
  <si>
    <t>Versperrt</t>
  </si>
  <si>
    <t>X</t>
  </si>
  <si>
    <t>Rosewein, exquisit</t>
  </si>
  <si>
    <t>Rosewein, gut</t>
  </si>
  <si>
    <t>Rosinen</t>
  </si>
  <si>
    <t>Roßpanzer, Harnisch, voll</t>
  </si>
  <si>
    <t>Roßpanzer, Kettenpanzer</t>
  </si>
  <si>
    <t>Roßpanzer, Lamellenpanzer</t>
  </si>
  <si>
    <t>Roßpanzer, Lederpanzer</t>
  </si>
  <si>
    <t>GESCHOSS</t>
  </si>
  <si>
    <t>BEIDHÄNDIG/ GESCHOSS</t>
  </si>
  <si>
    <t>Roßpanzer, Schuppenpanzer, halb</t>
  </si>
  <si>
    <t>Roßpanzer, Schuppenpanzer, voll</t>
  </si>
  <si>
    <t>Roßschinder</t>
  </si>
  <si>
    <t>Rotholz</t>
  </si>
  <si>
    <t>Rotkohl</t>
  </si>
  <si>
    <t>Rotwein, billig</t>
  </si>
  <si>
    <t>Rotwein, edel</t>
  </si>
  <si>
    <t>Rotwein, exquisit</t>
  </si>
  <si>
    <t>Rotwein, gut</t>
  </si>
  <si>
    <t>Rüben</t>
  </si>
  <si>
    <t>Rübenmus</t>
  </si>
  <si>
    <t>Rübenschnaps, billig</t>
  </si>
  <si>
    <t>Rübenschnaps, edel</t>
  </si>
  <si>
    <t>Rübenschnaps, gut</t>
  </si>
  <si>
    <t>Rübenzucker</t>
  </si>
  <si>
    <t>Rucksack</t>
  </si>
  <si>
    <t>Ruder, einfach</t>
  </si>
  <si>
    <t>Ruderboot</t>
  </si>
  <si>
    <t>Rundnägel</t>
  </si>
  <si>
    <t>Sack, groß</t>
  </si>
  <si>
    <t>Sack, klein</t>
  </si>
  <si>
    <t>Safrangewürz</t>
  </si>
  <si>
    <t>Säge</t>
  </si>
  <si>
    <t>Sägeblatt</t>
  </si>
  <si>
    <t>Salat</t>
  </si>
  <si>
    <t>Salz</t>
  </si>
  <si>
    <t>Salzfleisch</t>
  </si>
  <si>
    <t>Salzheringe</t>
  </si>
  <si>
    <t>Samowar</t>
  </si>
  <si>
    <t>Samt, edel</t>
  </si>
  <si>
    <t>Samt, einfach</t>
  </si>
  <si>
    <t>Samt, gut</t>
  </si>
  <si>
    <t>Sandalen, Leder</t>
  </si>
  <si>
    <t>Sandonyx</t>
  </si>
  <si>
    <t>Sänfte</t>
  </si>
  <si>
    <t>Saphir</t>
  </si>
  <si>
    <t>Sappeur</t>
  </si>
  <si>
    <t>Sappeuroffizier</t>
  </si>
  <si>
    <t>Satin</t>
  </si>
  <si>
    <t>Satteldecke</t>
  </si>
  <si>
    <t>Satteltasche, groß</t>
  </si>
  <si>
    <t>Satteltasche, klein</t>
  </si>
  <si>
    <t>Sauerbrotbier</t>
  </si>
  <si>
    <t>Sauerteigbrot</t>
  </si>
  <si>
    <t>Saure Wurst</t>
  </si>
  <si>
    <t>Schaf</t>
  </si>
  <si>
    <t>Schafhirt</t>
  </si>
  <si>
    <t>Schafskäse</t>
  </si>
  <si>
    <t>Schafsmilch</t>
  </si>
  <si>
    <t>Schafwolltuch</t>
  </si>
  <si>
    <t>Scharnier</t>
  </si>
  <si>
    <t>Schärpe, Atlas</t>
  </si>
  <si>
    <t>Schärpe, Brokat</t>
  </si>
  <si>
    <t>Schärpe, Fell</t>
  </si>
  <si>
    <t>Schärpe, Filz</t>
  </si>
  <si>
    <t>Schärpe, Flachs</t>
  </si>
  <si>
    <t>Schärpe, Leder</t>
  </si>
  <si>
    <t>Schärpe, Leinen</t>
  </si>
  <si>
    <t>Schärpe, Loden</t>
  </si>
  <si>
    <t>Schärpe, Samt</t>
  </si>
  <si>
    <t>Schärpe, Satin</t>
  </si>
  <si>
    <t>Schärpe, Seide</t>
  </si>
  <si>
    <t>Schärpe, Tuch</t>
  </si>
  <si>
    <t>Schärpe, Wildleder</t>
  </si>
  <si>
    <t>Schattenmantel</t>
  </si>
  <si>
    <t>Schaufel</t>
  </si>
  <si>
    <t>Schere</t>
  </si>
  <si>
    <t>Schienenpanzer</t>
  </si>
  <si>
    <t>Schiffbauer</t>
  </si>
  <si>
    <t>Schiffbauermeister</t>
  </si>
  <si>
    <t>Schild</t>
  </si>
  <si>
    <t>Schildpatt</t>
  </si>
  <si>
    <t>Schildträger</t>
  </si>
  <si>
    <t>Schimmelkäse</t>
  </si>
  <si>
    <t>Schlachterbeil</t>
  </si>
  <si>
    <t>Schlachtroß, leicht</t>
  </si>
  <si>
    <t>Schlachtroß, mittel</t>
  </si>
  <si>
    <t>Schlachtroß, schwer</t>
  </si>
  <si>
    <t>Schlafgas</t>
  </si>
  <si>
    <t>Schlafgift</t>
  </si>
  <si>
    <t>Schlafmittel, leicht</t>
  </si>
  <si>
    <t>Schlafmittel, mittelstark</t>
  </si>
  <si>
    <t>Schlafmittel, stark</t>
  </si>
  <si>
    <t>Schleichanzug, Seide</t>
  </si>
  <si>
    <t>Schleichschuhe</t>
  </si>
  <si>
    <t>Schleifstein</t>
  </si>
  <si>
    <t>Schleifstein, Rund-</t>
  </si>
  <si>
    <t>Schleuder</t>
  </si>
  <si>
    <t>Schleuderkugel</t>
  </si>
  <si>
    <t>Schleuderstein</t>
  </si>
  <si>
    <t>Schlosser</t>
  </si>
  <si>
    <t>Schlüssellochmeißel</t>
  </si>
  <si>
    <t>Schlüsselmachbox</t>
  </si>
  <si>
    <t>Schmierkäse</t>
  </si>
  <si>
    <t>Schnappfalle</t>
  </si>
  <si>
    <t>Schneider</t>
  </si>
  <si>
    <t>Schneidermeister</t>
  </si>
  <si>
    <t>Schöpfkelle</t>
  </si>
  <si>
    <t>Schraube</t>
  </si>
  <si>
    <t>Schrauben</t>
  </si>
  <si>
    <t>Schreiber</t>
  </si>
  <si>
    <t>Schreiber, Bibliothekar</t>
  </si>
  <si>
    <t>Schuhe, Elefantenhaut</t>
  </si>
  <si>
    <t>Schuhe, Fell</t>
  </si>
  <si>
    <t>Schuhe, Leder</t>
  </si>
  <si>
    <t>Schuhe, Reptilleder</t>
  </si>
  <si>
    <t>Schuhe, Wildleder</t>
  </si>
  <si>
    <t>Schuppenpanzer</t>
  </si>
  <si>
    <t>Schuster</t>
  </si>
  <si>
    <t>Schustermeister</t>
  </si>
  <si>
    <t>Schwan</t>
  </si>
  <si>
    <t>Schwarzbrot</t>
  </si>
  <si>
    <t>Schwarzer Opal</t>
  </si>
  <si>
    <t>Schwarzer Saphir</t>
  </si>
  <si>
    <t>TASCHENDIEBSTAHL</t>
  </si>
  <si>
    <t>SCHLÖSSER ÖFFNEN</t>
  </si>
  <si>
    <t>FALLEN FINDEN/ ENTSCHÄRFEN</t>
  </si>
  <si>
    <t>LEISE BEWEGEN</t>
  </si>
  <si>
    <t>IM SCHATTEN VERSTECKEN</t>
  </si>
  <si>
    <t>GERÄUSCHE HÖREN</t>
  </si>
  <si>
    <t>WÄNDE ERKLIMMEN</t>
  </si>
  <si>
    <t>SPRACHE LESEN</t>
  </si>
  <si>
    <t>BASE</t>
  </si>
  <si>
    <t>MAX./ LEVEL</t>
  </si>
  <si>
    <t>MAX/ FERTIGKEIT</t>
  </si>
  <si>
    <t>BACKSTAB</t>
  </si>
  <si>
    <t>x2</t>
  </si>
  <si>
    <t>x3</t>
  </si>
  <si>
    <t>x4</t>
  </si>
  <si>
    <t>x5</t>
  </si>
  <si>
    <t>HINTERHÄLTIGER ANGRIFF</t>
  </si>
  <si>
    <t>STUFE</t>
  </si>
  <si>
    <t>GESCHICKLICHKEIT</t>
  </si>
  <si>
    <t>GESCHICKLICHKEIT 9</t>
  </si>
  <si>
    <t>GESCHICKLICHKEIT 10</t>
  </si>
  <si>
    <t>GESCHICKLICHKEIT 11</t>
  </si>
  <si>
    <t>GESCHICKLICHKEIT 12</t>
  </si>
  <si>
    <t>GESCHICKLICHKEIT 13</t>
  </si>
  <si>
    <t>GESCHICKLICHKEIT 14</t>
  </si>
  <si>
    <t>GESCHICKLICHKEIT 15</t>
  </si>
  <si>
    <t>GESCHICKLICHKEIT 16</t>
  </si>
  <si>
    <t>GESCHICKLICHKEIT 17</t>
  </si>
  <si>
    <t>GESCHICKLICHKEIT 18</t>
  </si>
  <si>
    <t>GESCHICKLICHKEIT 19</t>
  </si>
  <si>
    <t>GESCHICKLICHKEIT 20</t>
  </si>
  <si>
    <t>GESCHICKLICHKEIT 21</t>
  </si>
  <si>
    <t>GESCHICKLICHKEIT 22</t>
  </si>
  <si>
    <t>LEDERPANZER</t>
  </si>
  <si>
    <t>OHNE RÜSTUNG</t>
  </si>
  <si>
    <t>SPRACHE VERSTEHEN/ LESEN</t>
  </si>
  <si>
    <t>Das knacken von Schlössern erfordert Diebeswerkzeug. Sofern dies nicht vorhanden ist legt der SL entsprechende Modifikationen zwischen 5% bis 60% fest. Das Knacken eines Schlosses erfordert 1W10 Runden. Bei einem Fehlversuch ist erst auf der nächsten Stufe ein weiterer Versuch möglich.</t>
  </si>
  <si>
    <t>Das Auffinden einer Falle erfordert 1W10 Runden. Liegt der Würfelwert über der Fertigkeit, ist er sich sicher das keine Falle vorhanden ist. Bei einem Fehlversuch ist erst auf der nächsten Stufe ein weiterer Versuch möglich.
Das Entschäfen nimmt ebenfalls 1W10 Runden in Anspruch. Bei einem Ergebnis von 96% bis 100% löst die Falle aus.</t>
  </si>
  <si>
    <t>Das Bewegungstempo verringer sich dabei auf 1/3 des normalen Wertes. Schleichen ist nur möglich ausserhalb des Sichtfeldes des Gegners. Der Dieb ist immer der Meinung geräuschlos zu sein.</t>
  </si>
  <si>
    <t>Verstecken ist nur möglich bei nicht vollständiger Dunkelheit. Eine Bewegung ist nur an der Stelle möglich. Ein versteckter Dieb ist gegenüber Infravision und normaler Sicht unsichtbar. Zauber, magische Gegenstände und bestimmte Fähigkeiten erlauben das Auffinden des Diebes.</t>
  </si>
  <si>
    <t>Der Dieb muss stillstehen und eine vorhandene Kopfbedeckung abnehmen. In der unmittelbaren Umgebung muss Ruhe herrschen. Laute die durch eine Tür wahrgenommen werden sind in der Regel lediglich undeutlich.</t>
  </si>
  <si>
    <t>Diebe sind geübtere Kletterer. Sie benötigen in der Regel keine Hilfsmittel und können zudem auch glatte Flächen und Wände überwinden. Dabei wird Ihre Bewegungsfreiheit eingeschränkt, an Kämpfen ist nicht zu denken.</t>
  </si>
  <si>
    <t>Der Dieb versteht bei erfolgreichem Wurf entsprechend des %-Wertes einen Anteil eines Textes. Für jeden Text muss erneut gewürfelt werden. Bei einem Fehlwurf ist erst auf der nächsten Sutfe ein weiterer Versuch möglich.</t>
  </si>
  <si>
    <t>Der Dieb verursacht bei einem erfolgreichen Anschleichen den entsprechenden x-fachen Schaden. Es können nur geeignete Waffen verwendet werden. Der Gegner muss grob menschgross und -artig sein. Nur ein Angriff !!</t>
  </si>
  <si>
    <t>GAUNERSPRACHE</t>
  </si>
  <si>
    <t>Eine Kommunikationsform unter Dieben. Sie setzt eine gemeinsame Sprache voraus und zeichnet sich durch Doppelbedeutungen und Phrasen aus.</t>
  </si>
  <si>
    <t>SCHRIFTROLLEN VERWENDEN</t>
  </si>
  <si>
    <t>Der Dieb kann ab der 10. Stufe Schriftrollen mit Magier- und Priesterzaubern nutzen. Dabei besteht eine 25%-Chance das der Zauber eine andere, nachteilige Wirkung hat - in der Regel zum Schaden des Diebes.</t>
  </si>
  <si>
    <t>Der Dieb wird endeckt, wenn der Wurf 100% - dreifacher Erfahrungsstufe erreicht oder Überschreitet. Ist der Dieb Erfahrener als das Opfer, wird die übersteigende Stufenanzahl vorgenanntem Wurf hinzuaddiert.</t>
  </si>
  <si>
    <t>GESCHICKLICHKEIT 23</t>
  </si>
  <si>
    <t>GESCHICKLICHKEIT 24</t>
  </si>
  <si>
    <t>GESCHICKLICHKEIT 25</t>
  </si>
  <si>
    <t>BASIS</t>
  </si>
  <si>
    <t>Schwarzes Vollkornbrot</t>
  </si>
  <si>
    <t>Schwefel</t>
  </si>
  <si>
    <t>Schwein</t>
  </si>
  <si>
    <t>Schweinefleisch</t>
  </si>
  <si>
    <t>Schweinehirt</t>
  </si>
  <si>
    <t>Schweineleder</t>
  </si>
  <si>
    <t>Schweinespeck</t>
  </si>
  <si>
    <t>Schwere Armbrust</t>
  </si>
  <si>
    <t>Schwerer Dolch</t>
  </si>
  <si>
    <t>Schwertbeil</t>
  </si>
  <si>
    <t>Scythe</t>
  </si>
  <si>
    <t>Segel 10x10 Meter</t>
  </si>
  <si>
    <t>Segel 15x15 Meter</t>
  </si>
  <si>
    <t>Segel 20x20 Meter</t>
  </si>
  <si>
    <t>Segeltuch</t>
  </si>
  <si>
    <t>Segeltuch, geteert</t>
  </si>
  <si>
    <t>Segeltuch, gewachst</t>
  </si>
  <si>
    <t>Seide, edel</t>
  </si>
  <si>
    <t>Seide, einfach</t>
  </si>
  <si>
    <t>Seide, gut</t>
  </si>
  <si>
    <t>Seidenseil</t>
  </si>
  <si>
    <t>Seife</t>
  </si>
  <si>
    <t>Seife mit Duft</t>
  </si>
  <si>
    <t>Seifenfaß</t>
  </si>
  <si>
    <t>Seifenmacher</t>
  </si>
  <si>
    <t>Sekretär</t>
  </si>
  <si>
    <t>Sense</t>
  </si>
  <si>
    <t>Shuriken, Klinge</t>
  </si>
  <si>
    <t>Shuriken, Stern</t>
  </si>
  <si>
    <t>Sicherheitsnadel</t>
  </si>
  <si>
    <t>Siegelring</t>
  </si>
  <si>
    <t>Signalpfeife</t>
  </si>
  <si>
    <t>Silber</t>
  </si>
  <si>
    <t>Silbererz</t>
  </si>
  <si>
    <t>Silmana</t>
  </si>
  <si>
    <t>Singvogel</t>
  </si>
  <si>
    <t>Siram</t>
  </si>
  <si>
    <t>Siriena</t>
  </si>
  <si>
    <t>Skalpell</t>
  </si>
  <si>
    <t>Slors</t>
  </si>
  <si>
    <t>Smaragd</t>
  </si>
  <si>
    <t>Sonnenspiegel</t>
  </si>
  <si>
    <t>Spalthammer</t>
  </si>
  <si>
    <t>Spaten</t>
  </si>
  <si>
    <t>Speer</t>
  </si>
  <si>
    <t>Spiegel, klein</t>
  </si>
  <si>
    <t>Spielmann</t>
  </si>
  <si>
    <t>Spielmann mit Instrument</t>
  </si>
  <si>
    <t>Spinat</t>
  </si>
  <si>
    <t>Spinel</t>
  </si>
  <si>
    <t>Sprungmesser</t>
  </si>
  <si>
    <t>Stabschleuder</t>
  </si>
  <si>
    <t>Stadtführer</t>
  </si>
  <si>
    <t>Stadtgardist, beritten</t>
  </si>
  <si>
    <t>Stadtgardist, leicht</t>
  </si>
  <si>
    <t>Stadtgardist, mittelschwer</t>
  </si>
  <si>
    <t>Stadtgardist, Offizier</t>
  </si>
  <si>
    <t>Stadtgardist, Schütze</t>
  </si>
  <si>
    <t>Stadtgardist, schwer</t>
  </si>
  <si>
    <t>Stahlteil</t>
  </si>
  <si>
    <t>Stallknecht, angelernt</t>
  </si>
  <si>
    <t>Stallknecht, gelernt</t>
  </si>
  <si>
    <t>Stallknecht, ungelernt</t>
  </si>
  <si>
    <t>Stallmeister</t>
  </si>
  <si>
    <t>Stangenbeil</t>
  </si>
  <si>
    <t>Stangenbrot</t>
  </si>
  <si>
    <t>Steigeisen</t>
  </si>
  <si>
    <t>Steinbeißer</t>
  </si>
  <si>
    <t>Steinbeißer, Adamantit</t>
  </si>
  <si>
    <t>Steinbrecher</t>
  </si>
  <si>
    <t>Steinkohle</t>
  </si>
  <si>
    <t>Steinmetz</t>
  </si>
  <si>
    <t>Steinmetzmeister</t>
  </si>
  <si>
    <t>Steinteil</t>
  </si>
  <si>
    <t>Stellmacher</t>
  </si>
  <si>
    <t>Stelzen</t>
  </si>
  <si>
    <t>Sternrubin</t>
  </si>
  <si>
    <t>Sternsaphir</t>
  </si>
  <si>
    <t>Stiefel, Elefantenhaut</t>
  </si>
  <si>
    <t>Stiefel, Fell</t>
  </si>
  <si>
    <t>Stiefel, Leder</t>
  </si>
  <si>
    <t>Stiefel, Reptilleder</t>
  </si>
  <si>
    <t>Bemerkungen/
sonstiges</t>
  </si>
  <si>
    <t>Gesinnung</t>
  </si>
  <si>
    <t>Kit</t>
  </si>
  <si>
    <t>Lähmung, Gift,
Todesmagie</t>
  </si>
  <si>
    <t>Zauberstäbe,
-stecken, -ruten</t>
  </si>
  <si>
    <t>Versteinerung/
Verwandlung</t>
  </si>
  <si>
    <t>Odemwaffen</t>
  </si>
  <si>
    <t>Zauber</t>
  </si>
  <si>
    <t>RW</t>
  </si>
  <si>
    <t>Attribut</t>
  </si>
  <si>
    <t>Stiefel, Wildleder</t>
  </si>
  <si>
    <t>Stieltopf, 5 Liter</t>
  </si>
  <si>
    <t>Stier</t>
  </si>
  <si>
    <t>Stiletto</t>
  </si>
  <si>
    <t>Stimmgabel</t>
  </si>
  <si>
    <t>Stockfisch</t>
  </si>
  <si>
    <t>Stockschwert</t>
  </si>
  <si>
    <t>Stör</t>
  </si>
  <si>
    <t>Streithammer, Fußvolk-</t>
  </si>
  <si>
    <t>Streithammer, Reiter-</t>
  </si>
  <si>
    <t>Streitkolben, Fußvolk-</t>
  </si>
  <si>
    <t>Streitkolben, Reiter-</t>
  </si>
  <si>
    <t>Streitwagen</t>
  </si>
  <si>
    <t>Strickleiter</t>
  </si>
  <si>
    <t>5 Meter</t>
  </si>
  <si>
    <t>Strümpfe, Brokat</t>
  </si>
  <si>
    <t>Strümpfe, Filz</t>
  </si>
  <si>
    <t>Strümpfe, Flachs</t>
  </si>
  <si>
    <t>Strümpfe, Loden</t>
  </si>
  <si>
    <t>Strümpfe, Samt</t>
  </si>
  <si>
    <t>Strümpfe, Seide</t>
  </si>
  <si>
    <t>Strümpfe, Tuch</t>
  </si>
  <si>
    <t>Stukkator</t>
  </si>
  <si>
    <t>Stukkatormeister</t>
  </si>
  <si>
    <t>Suranie</t>
  </si>
  <si>
    <t>Süßholz</t>
  </si>
  <si>
    <t>Süßmoos</t>
  </si>
  <si>
    <t>Tabak</t>
  </si>
  <si>
    <t>Taft</t>
  </si>
  <si>
    <t>Tanne</t>
  </si>
  <si>
    <t>Tarnas</t>
  </si>
  <si>
    <t>Tartsche</t>
  </si>
  <si>
    <t>Taschenstiefel</t>
  </si>
  <si>
    <t>Taube</t>
  </si>
  <si>
    <t>Taynaga</t>
  </si>
  <si>
    <t>Tee, billig</t>
  </si>
  <si>
    <t>Tee, edel</t>
  </si>
  <si>
    <t>Tee, exquisit</t>
  </si>
  <si>
    <t>Tee, gut</t>
  </si>
  <si>
    <t>Teer</t>
  </si>
  <si>
    <t>Teller, Gold</t>
  </si>
  <si>
    <t>Teller, Holz</t>
  </si>
  <si>
    <t>Teller, irden</t>
  </si>
  <si>
    <t>Teller, Porzellan</t>
  </si>
  <si>
    <t>Teller, Silber</t>
  </si>
  <si>
    <t>Teller, Zinn</t>
  </si>
  <si>
    <t>Terbas</t>
  </si>
  <si>
    <t>Tetsubo</t>
  </si>
  <si>
    <t>Thunfisch</t>
  </si>
  <si>
    <t>Thurl</t>
  </si>
  <si>
    <t>Tiergerüche</t>
  </si>
  <si>
    <t>Tierpfeife</t>
  </si>
  <si>
    <t>Tigerauge</t>
  </si>
  <si>
    <t>Tigerfell</t>
  </si>
  <si>
    <t>Tinte</t>
  </si>
  <si>
    <t>Tischler</t>
  </si>
  <si>
    <t>Tischlermeister</t>
  </si>
  <si>
    <t>Toga, Atlas</t>
  </si>
  <si>
    <t>Toga, Brokat</t>
  </si>
  <si>
    <t>Toga, Fell</t>
  </si>
  <si>
    <t>Toga, Filz</t>
  </si>
  <si>
    <t>Toga, Flachs</t>
  </si>
  <si>
    <t>Toga, Leder</t>
  </si>
  <si>
    <t>Toga, Leinen</t>
  </si>
  <si>
    <t>Toga, Loden</t>
  </si>
  <si>
    <t>Toga, Samt</t>
  </si>
  <si>
    <t>Toga, Satin</t>
  </si>
  <si>
    <t>Toga, Seide</t>
  </si>
  <si>
    <t>Toga, Tuch</t>
  </si>
  <si>
    <t>Toga, Wildleder</t>
  </si>
  <si>
    <t>Tonkrug</t>
  </si>
  <si>
    <t>Töpfer</t>
  </si>
  <si>
    <t>Töpfermeister</t>
  </si>
  <si>
    <t>Töpferscheibe</t>
  </si>
  <si>
    <t>Topfhelm</t>
  </si>
  <si>
    <t>Tran</t>
  </si>
  <si>
    <t>Tricktinte</t>
  </si>
  <si>
    <t>Trinkbecher, Holz</t>
  </si>
  <si>
    <t>Trinkbecher, Ton</t>
  </si>
  <si>
    <t>Trinkbecher, Zinn</t>
  </si>
  <si>
    <t>Trinkglas</t>
  </si>
  <si>
    <t>Trinkhorn</t>
  </si>
  <si>
    <t>Trockennahrung</t>
  </si>
  <si>
    <t>Woche</t>
  </si>
  <si>
    <t>Trockenobst</t>
  </si>
  <si>
    <t>Tuch, ärmlich</t>
  </si>
  <si>
    <t>Tuch, edel</t>
  </si>
  <si>
    <t>Tuch, einfach</t>
  </si>
  <si>
    <t>Tuch, gut</t>
  </si>
  <si>
    <t>Tuchmacher</t>
  </si>
  <si>
    <t>Tuchmachermeister</t>
  </si>
  <si>
    <t>Tunika, Atlas</t>
  </si>
  <si>
    <t>Tunika, Brokat</t>
  </si>
  <si>
    <t>Tunika, Fell</t>
  </si>
  <si>
    <t>Tunika, Filz</t>
  </si>
  <si>
    <t>Tunika, Flachs</t>
  </si>
  <si>
    <t>Tunika, Leder</t>
  </si>
  <si>
    <t>Tunika, Leinen</t>
  </si>
  <si>
    <t>Tunika, Loden</t>
  </si>
  <si>
    <t>Tunika, Samt</t>
  </si>
  <si>
    <t>Tunika, Satin</t>
  </si>
  <si>
    <t>Tunika, Seide</t>
  </si>
  <si>
    <t>Tunika, Tuch</t>
  </si>
  <si>
    <t>Tunika, Wildleder</t>
  </si>
  <si>
    <t>Türkis</t>
  </si>
  <si>
    <t>Turmalin</t>
  </si>
  <si>
    <t>Tusche</t>
  </si>
  <si>
    <t>Uhrmacher</t>
  </si>
  <si>
    <t>Uhrwerk</t>
  </si>
  <si>
    <t>Umhang, Brokat</t>
  </si>
  <si>
    <t>Umhang, Fell</t>
  </si>
  <si>
    <t>Umhang, Filz</t>
  </si>
  <si>
    <t>Umhang, Leder</t>
  </si>
  <si>
    <t>Umhang, Leinen</t>
  </si>
  <si>
    <t>Umhang, Loden</t>
  </si>
  <si>
    <t>Umhang, Seide</t>
  </si>
  <si>
    <t>Umhang, Tuch</t>
  </si>
  <si>
    <t>Umhang, Wildleder</t>
  </si>
  <si>
    <t>Ur</t>
  </si>
  <si>
    <t>Uraana</t>
  </si>
  <si>
    <t>Vanille</t>
  </si>
  <si>
    <t>Verbandschere</t>
  </si>
  <si>
    <t>Verbandstoff, dick</t>
  </si>
  <si>
    <t>Verbandstoff, dünn</t>
  </si>
  <si>
    <t>Vergrößerungsglas</t>
  </si>
  <si>
    <t>Vinuk</t>
  </si>
  <si>
    <t>Wachmann, leicht</t>
  </si>
  <si>
    <t>Wachmann, mittelschwer</t>
  </si>
  <si>
    <t>Wachmann, schwer</t>
  </si>
  <si>
    <t>Wachoffizier</t>
  </si>
  <si>
    <t>Wachs</t>
  </si>
  <si>
    <t>Wachsblock</t>
  </si>
  <si>
    <t>Waffenrock</t>
  </si>
  <si>
    <t>Wagen, Reise-</t>
  </si>
  <si>
    <t>Wagengeschirr</t>
  </si>
  <si>
    <t>Wagenrad</t>
  </si>
  <si>
    <t>Walbein</t>
  </si>
  <si>
    <t>Walfleisch</t>
  </si>
  <si>
    <t>Walnüsse</t>
  </si>
  <si>
    <t>Wappenmantel, Atlas</t>
  </si>
  <si>
    <t>Wappenmantel, Brokat</t>
  </si>
  <si>
    <t>Wappenmantel, Fell</t>
  </si>
  <si>
    <t>Wappenmantel, Filz</t>
  </si>
  <si>
    <t>Wappenmantel, Leder</t>
  </si>
  <si>
    <t>Wappenmantel, Leinen</t>
  </si>
  <si>
    <t>Wappenmantel, Loden</t>
  </si>
  <si>
    <t>Wappenmantel, Tuch</t>
  </si>
  <si>
    <t>Wappenmantel, Wildleder</t>
  </si>
  <si>
    <t>Waschen</t>
  </si>
  <si>
    <t>Stoffballen</t>
  </si>
  <si>
    <t>Wassermelone</t>
  </si>
  <si>
    <t>Wasserrad</t>
  </si>
  <si>
    <t>Weber</t>
  </si>
  <si>
    <t>Webstuhl</t>
  </si>
  <si>
    <t>Weiche Schuhe, Elefantenhaut</t>
  </si>
  <si>
    <t>Weiche Schuhe, Fell</t>
  </si>
  <si>
    <t>Weiche Schuhe, Leder</t>
  </si>
  <si>
    <t>Weiche Schuhe, Reptilleder</t>
  </si>
  <si>
    <t>Weiche Schuhe, Wildleder</t>
  </si>
  <si>
    <t>Weichholzstreifen</t>
  </si>
  <si>
    <t>Weide</t>
  </si>
  <si>
    <t>Weihrauch</t>
  </si>
  <si>
    <t>Weihrauch, Antilykanthropen-</t>
  </si>
  <si>
    <t>Weihrauch, Charisma-</t>
  </si>
  <si>
    <t>Weihrauch, Erkenntnis-</t>
  </si>
  <si>
    <t>Weihrauch, Glücks-</t>
  </si>
  <si>
    <t>Weihrauch, Heil-</t>
  </si>
  <si>
    <t>Weihrauch, Liebes-</t>
  </si>
  <si>
    <t>Weihrauch, Reinigungs-</t>
  </si>
  <si>
    <t>Weihrauch, Traum-</t>
  </si>
  <si>
    <t>Weinschlauch</t>
  </si>
  <si>
    <t>Weintrauben</t>
  </si>
  <si>
    <t>Weißbrot</t>
  </si>
  <si>
    <t>Weißkohl</t>
  </si>
  <si>
    <t>Weißwein, billig</t>
  </si>
  <si>
    <t>Gift bes.</t>
  </si>
  <si>
    <t>Weißwein, edel</t>
  </si>
  <si>
    <t>Weißwein, exquisit</t>
  </si>
  <si>
    <t>Weißwein, gut</t>
  </si>
  <si>
    <t>Weizen</t>
  </si>
  <si>
    <t>Weizenbier, billig</t>
  </si>
  <si>
    <t>Weizenbier, edel</t>
  </si>
  <si>
    <t>Weizenbier, exquisit</t>
  </si>
  <si>
    <t>Weizenbier, gut</t>
  </si>
  <si>
    <t>Werkzeugsammlung</t>
  </si>
  <si>
    <t>Weste, Atlas</t>
  </si>
  <si>
    <t>Weste, Brokat</t>
  </si>
  <si>
    <t>Weste, Fell</t>
  </si>
  <si>
    <t>Weste, Filz</t>
  </si>
  <si>
    <t>Weste, Flachs</t>
  </si>
  <si>
    <t>Weste, Leder</t>
  </si>
  <si>
    <t>Weste, Leinen</t>
  </si>
  <si>
    <t>Weste, Loden</t>
  </si>
  <si>
    <t>Weste, Samt</t>
  </si>
  <si>
    <t>Weste, Seide</t>
  </si>
  <si>
    <t>Weste, Tuch</t>
  </si>
  <si>
    <t>Weste, Wildleder</t>
  </si>
  <si>
    <t>Wetzstein</t>
  </si>
  <si>
    <t>Widder</t>
  </si>
  <si>
    <t>Wilde Beeren, gemischt</t>
  </si>
  <si>
    <t>Wildfleisch</t>
  </si>
  <si>
    <t>Wildleder</t>
  </si>
  <si>
    <t>Wildrind</t>
  </si>
  <si>
    <t>Winclamit</t>
  </si>
  <si>
    <t>Windmühle</t>
  </si>
  <si>
    <t>Winzer</t>
  </si>
  <si>
    <t>Winzermeister</t>
  </si>
  <si>
    <t>Witan</t>
  </si>
  <si>
    <t>Wolfspelz</t>
  </si>
  <si>
    <t>Wundsalbe, Brandwunden</t>
  </si>
  <si>
    <t>Wundsalbe, Erfrierungen</t>
  </si>
  <si>
    <t>Wundsalbe, offene Wunden</t>
  </si>
  <si>
    <t>Wurfanker</t>
  </si>
  <si>
    <t>Wurfbeil</t>
  </si>
  <si>
    <t>Wurfhammer</t>
  </si>
  <si>
    <t>Wurfspeer</t>
  </si>
  <si>
    <t>Yaran</t>
  </si>
  <si>
    <t>Yarethalion</t>
  </si>
  <si>
    <t>Zaganzar</t>
  </si>
  <si>
    <t>Zange</t>
  </si>
  <si>
    <t>Zeder</t>
  </si>
  <si>
    <t>Zeichenkohle</t>
  </si>
  <si>
    <t>Zelt, groß</t>
  </si>
  <si>
    <t>Zelt, klein</t>
  </si>
  <si>
    <t>Zelt, Pavillon-</t>
  </si>
  <si>
    <t>Ziege</t>
  </si>
  <si>
    <t>Ziegelmacher</t>
  </si>
  <si>
    <t>Ziegenleder</t>
  </si>
  <si>
    <t>Ziegenmilch</t>
  </si>
  <si>
    <t>Zimmermann</t>
  </si>
  <si>
    <t>Zimmermeister</t>
  </si>
  <si>
    <t>Zink</t>
  </si>
  <si>
    <t>Zinn</t>
  </si>
  <si>
    <t>Zinnerz</t>
  </si>
  <si>
    <t>Zinngeschirr</t>
  </si>
  <si>
    <t>Zinngießer</t>
  </si>
  <si>
    <t>Zinngußformen</t>
  </si>
  <si>
    <t xml:space="preserve">Zirkon </t>
  </si>
  <si>
    <t>Zitrin</t>
  </si>
  <si>
    <t>Zitronen</t>
  </si>
  <si>
    <t>Zuckerbrot</t>
  </si>
  <si>
    <t>Zuckermelone</t>
  </si>
  <si>
    <t>Zuckerrohr</t>
  </si>
  <si>
    <t>Zuckerrohrrum, billig</t>
  </si>
  <si>
    <t>Zuckerrohrrum, edel</t>
  </si>
  <si>
    <t>Zuckerrohrrum, gut</t>
  </si>
  <si>
    <t>Zugpferd</t>
  </si>
  <si>
    <t>Zunderschwämme</t>
  </si>
  <si>
    <t>Zur</t>
  </si>
  <si>
    <t>Zutsendura</t>
  </si>
  <si>
    <t>Zweihänder</t>
  </si>
  <si>
    <t>Zweihandstreitaxt</t>
  </si>
  <si>
    <t>Zwergengold</t>
  </si>
  <si>
    <t>Zwieback</t>
  </si>
  <si>
    <t>Zwiebeln</t>
  </si>
  <si>
    <t>Zypresse</t>
  </si>
  <si>
    <t>Amaunas</t>
  </si>
  <si>
    <t>Coliar</t>
  </si>
  <si>
    <t>Anedis</t>
  </si>
  <si>
    <t>Krpreris</t>
  </si>
  <si>
    <t>Chanedris</t>
  </si>
  <si>
    <t>Glythars</t>
  </si>
  <si>
    <t>Garadens</t>
  </si>
  <si>
    <t>Cathars</t>
  </si>
  <si>
    <t>Thouteka</t>
  </si>
  <si>
    <t>Selunsta</t>
  </si>
  <si>
    <t>Midwinter</t>
  </si>
  <si>
    <t>Alturiak</t>
  </si>
  <si>
    <t>Ches</t>
  </si>
  <si>
    <t>Tarsakh</t>
  </si>
  <si>
    <t>Greengrass</t>
  </si>
  <si>
    <t>Mirtul</t>
  </si>
  <si>
    <t>Kythorn</t>
  </si>
  <si>
    <t>Flamerule</t>
  </si>
  <si>
    <t>Midsummer</t>
  </si>
  <si>
    <t>Elesias</t>
  </si>
  <si>
    <t>Eleint</t>
  </si>
  <si>
    <t>Higharvestide</t>
  </si>
  <si>
    <t>Marpenoth</t>
  </si>
  <si>
    <t>Uktar</t>
  </si>
  <si>
    <t>Feast of the Moon</t>
  </si>
  <si>
    <t>Nightal</t>
  </si>
  <si>
    <t>Attributwert</t>
  </si>
  <si>
    <t>Trefferchance</t>
  </si>
  <si>
    <t>Schdensmod.</t>
  </si>
  <si>
    <t>Zul. Traglast</t>
  </si>
  <si>
    <t>Stemmvermögen</t>
  </si>
  <si>
    <t>Türen öffnen</t>
  </si>
  <si>
    <t>Stangen verb./ Gatter anheben</t>
  </si>
  <si>
    <t>Bemerkung</t>
  </si>
  <si>
    <t>-5</t>
  </si>
  <si>
    <t>-3</t>
  </si>
  <si>
    <t>-2</t>
  </si>
  <si>
    <t>-1</t>
  </si>
  <si>
    <t>normal</t>
  </si>
  <si>
    <t>+1</t>
  </si>
  <si>
    <t>-4</t>
  </si>
  <si>
    <t>keine</t>
  </si>
  <si>
    <t>+2</t>
  </si>
  <si>
    <t>Zusätzlich</t>
  </si>
  <si>
    <t>Akademiker</t>
  </si>
  <si>
    <t>Keine</t>
  </si>
  <si>
    <t>Amazonenzauberin</t>
  </si>
  <si>
    <t>Anagakok</t>
  </si>
  <si>
    <t>Glücks-zauber</t>
  </si>
  <si>
    <t>Hexe</t>
  </si>
  <si>
    <t>Kampfmagier (Bannwirker)</t>
  </si>
  <si>
    <t>Kampfmagier (Beschwörer)</t>
  </si>
  <si>
    <t>Kampfmagier (Nekormant)</t>
  </si>
  <si>
    <t>Kampfmagier (Seher)</t>
  </si>
  <si>
    <r>
      <t xml:space="preserve">Kampfmagier </t>
    </r>
    <r>
      <rPr>
        <sz val="6"/>
        <rFont val="Arial"/>
        <family val="2"/>
      </rPr>
      <t>(Thaumaturg)</t>
    </r>
  </si>
  <si>
    <t>Kampfmagier (Wandler)</t>
  </si>
  <si>
    <t>Magier der Wildnis</t>
  </si>
  <si>
    <t>Mystiker</t>
  </si>
  <si>
    <t>Patrizier</t>
  </si>
  <si>
    <t>Volksmagier</t>
  </si>
  <si>
    <t>Wu-Jen</t>
  </si>
  <si>
    <t>1. Stufe</t>
  </si>
  <si>
    <t>2. Stufe</t>
  </si>
  <si>
    <t>3. Stufe</t>
  </si>
  <si>
    <t>4. Stufe</t>
  </si>
  <si>
    <t>5. Stufe</t>
  </si>
  <si>
    <t>6. Stufe</t>
  </si>
  <si>
    <t>7. Stufe</t>
  </si>
  <si>
    <t>8. Stufe</t>
  </si>
  <si>
    <t>9. Stufe</t>
  </si>
  <si>
    <t>10. Stufe</t>
  </si>
  <si>
    <t>11. Stufe</t>
  </si>
  <si>
    <t>12. Stufe</t>
  </si>
  <si>
    <t>13. Stufe</t>
  </si>
  <si>
    <t>14. Stufe</t>
  </si>
  <si>
    <t>15. Stufe</t>
  </si>
  <si>
    <t>16. Stufe</t>
  </si>
  <si>
    <t>17. Stufe</t>
  </si>
  <si>
    <t>18. Stufe</t>
  </si>
  <si>
    <t>19. Stufe</t>
  </si>
  <si>
    <t>20. Stufe</t>
  </si>
  <si>
    <t>INTELLIGENZ 13</t>
  </si>
  <si>
    <t>INTELLIGENZ 14</t>
  </si>
  <si>
    <t>INTELLIGENZ 15</t>
  </si>
  <si>
    <t>INTELLIGENZ 16</t>
  </si>
  <si>
    <t>INTELLIGENZ 17</t>
  </si>
  <si>
    <t>INTELLIGENZ 18</t>
  </si>
  <si>
    <t>INTELLIGENZ 19</t>
  </si>
  <si>
    <t>INTELLIGENZ 20</t>
  </si>
  <si>
    <t>INTELLIGENZ 21</t>
  </si>
  <si>
    <t>INTELLIGENZ 22</t>
  </si>
  <si>
    <t>INTELLIGENZ 23</t>
  </si>
  <si>
    <t>INTELLIGENZ 24</t>
  </si>
  <si>
    <t>INTELLIGENZ 25</t>
  </si>
  <si>
    <t>Dieb Stufe 1</t>
  </si>
  <si>
    <t>Dieb Stufe 2</t>
  </si>
  <si>
    <t>Dieb Stufe 3</t>
  </si>
  <si>
    <t>Dieb Stufe 4</t>
  </si>
  <si>
    <t>Dieb Stufe 5</t>
  </si>
  <si>
    <t>Dieb Stufe 6</t>
  </si>
  <si>
    <t>Dieb Stufe 7</t>
  </si>
  <si>
    <t>Dieb Stufe 8</t>
  </si>
  <si>
    <t>Dieb Stufe 9</t>
  </si>
  <si>
    <t>Dieb Stufe 10</t>
  </si>
  <si>
    <t>Dieb Stufe 11</t>
  </si>
  <si>
    <t>Dieb Stufe 12</t>
  </si>
  <si>
    <t>Dieb Stufe 13</t>
  </si>
  <si>
    <t>Dieb Stufe 14</t>
  </si>
  <si>
    <t>Dieb Stufe 15</t>
  </si>
  <si>
    <t>Dieb Stufe 16</t>
  </si>
  <si>
    <t>Dieb Stufe 17</t>
  </si>
  <si>
    <t>Dieb Stufe 18</t>
  </si>
  <si>
    <t>Dieb Stufe 19</t>
  </si>
  <si>
    <t>Dieb Stufe 20 und mehr</t>
  </si>
  <si>
    <t>Barde Stufe 1</t>
  </si>
  <si>
    <t>Barde Stufe 2</t>
  </si>
  <si>
    <t>Barde Stufe 3</t>
  </si>
  <si>
    <t>Barde Stufe 4</t>
  </si>
  <si>
    <t>Barde Stufe 5</t>
  </si>
  <si>
    <t>Barde Stufe 6</t>
  </si>
  <si>
    <t>Barde Stufe 7</t>
  </si>
  <si>
    <t>Barde Stufe 8</t>
  </si>
  <si>
    <t>Barde Stufe 9</t>
  </si>
  <si>
    <t>Barde Stufe 10</t>
  </si>
  <si>
    <t>Barde Stufe 11</t>
  </si>
  <si>
    <t>Barde Stufe 12</t>
  </si>
  <si>
    <t>Barde Stufe 13</t>
  </si>
  <si>
    <t>Barde Stufe 14</t>
  </si>
  <si>
    <t>Barde Stufe 15</t>
  </si>
  <si>
    <t>Barde Stufe 16</t>
  </si>
  <si>
    <t>Barde Stufe 17</t>
  </si>
  <si>
    <t>Barde Stufe 18</t>
  </si>
  <si>
    <t>Barde Stufe 19</t>
  </si>
  <si>
    <t>Barde Stufe 20 und mehr</t>
  </si>
  <si>
    <t>1.</t>
  </si>
  <si>
    <t>2.</t>
  </si>
  <si>
    <t>3.</t>
  </si>
  <si>
    <t>4.</t>
  </si>
  <si>
    <t>5.</t>
  </si>
  <si>
    <t>6.</t>
  </si>
  <si>
    <t>VERFÜBARE ZAUBER</t>
  </si>
</sst>
</file>

<file path=xl/styles.xml><?xml version="1.0" encoding="utf-8"?>
<styleSheet xmlns="http://schemas.openxmlformats.org/spreadsheetml/2006/main">
  <numFmts count="22">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 \W\P"/>
    <numFmt numFmtId="174" formatCode="0\ \W\F"/>
    <numFmt numFmtId="175" formatCode="0\ \F\P"/>
    <numFmt numFmtId="176" formatCode="0\ \W\F\P"/>
    <numFmt numFmtId="177" formatCode="0\ \I\N\I"/>
  </numFmts>
  <fonts count="51">
    <font>
      <sz val="10"/>
      <name val="Arial"/>
      <family val="0"/>
    </font>
    <font>
      <b/>
      <sz val="10"/>
      <name val="Arial"/>
      <family val="2"/>
    </font>
    <font>
      <sz val="10"/>
      <name val="Tahoma"/>
      <family val="2"/>
    </font>
    <font>
      <sz val="6"/>
      <name val="Tahoma"/>
      <family val="2"/>
    </font>
    <font>
      <sz val="10"/>
      <color indexed="9"/>
      <name val="Arial"/>
      <family val="2"/>
    </font>
    <font>
      <sz val="8"/>
      <name val="Copperplate Gothic Light"/>
      <family val="2"/>
    </font>
    <font>
      <sz val="3"/>
      <color indexed="9"/>
      <name val="Copperplate Gothic Light"/>
      <family val="2"/>
    </font>
    <font>
      <sz val="10"/>
      <name val="Copperplate Gothic Light"/>
      <family val="2"/>
    </font>
    <font>
      <sz val="8"/>
      <name val="Copperplate Gothic Bold"/>
      <family val="2"/>
    </font>
    <font>
      <sz val="8"/>
      <color indexed="9"/>
      <name val="Copperplate Gothic Light"/>
      <family val="2"/>
    </font>
    <font>
      <b/>
      <sz val="8"/>
      <name val="Copperplate Gothic Light"/>
      <family val="2"/>
    </font>
    <font>
      <sz val="6"/>
      <name val="Copperplate Gothic Light"/>
      <family val="2"/>
    </font>
    <font>
      <sz val="7"/>
      <name val="Copperplate Gothic Light"/>
      <family val="2"/>
    </font>
    <font>
      <sz val="8"/>
      <name val="Arial"/>
      <family val="2"/>
    </font>
    <font>
      <b/>
      <u val="single"/>
      <sz val="10"/>
      <name val="Tahoma"/>
      <family val="2"/>
    </font>
    <font>
      <sz val="8"/>
      <name val="Tahoma"/>
      <family val="2"/>
    </font>
    <font>
      <sz val="9"/>
      <name val="Helv"/>
      <family val="0"/>
    </font>
    <font>
      <sz val="10"/>
      <name val="BlackChancery"/>
      <family val="0"/>
    </font>
    <font>
      <b/>
      <sz val="10"/>
      <name val="BlackChancery"/>
      <family val="0"/>
    </font>
    <font>
      <sz val="6"/>
      <name val="BlackChancery"/>
      <family val="0"/>
    </font>
    <font>
      <sz val="12"/>
      <name val="BlackChancery"/>
      <family val="0"/>
    </font>
    <font>
      <sz val="6"/>
      <name val="Helv"/>
      <family val="0"/>
    </font>
    <font>
      <sz val="9"/>
      <name val="BlackChancery"/>
      <family val="0"/>
    </font>
    <font>
      <b/>
      <sz val="8"/>
      <name val="Copperplate Gothic Bold"/>
      <family val="2"/>
    </font>
    <font>
      <sz val="5"/>
      <name val="Copperplate Gothic Light"/>
      <family val="2"/>
    </font>
    <font>
      <sz val="5"/>
      <color indexed="9"/>
      <name val="Copperplate Gothic Light"/>
      <family val="2"/>
    </font>
    <font>
      <b/>
      <sz val="7"/>
      <name val="Tahoma"/>
      <family val="2"/>
    </font>
    <font>
      <sz val="7"/>
      <name val="Arial"/>
      <family val="0"/>
    </font>
    <font>
      <sz val="10"/>
      <name val="Copperplate Gothic Bold"/>
      <family val="2"/>
    </font>
    <font>
      <b/>
      <sz val="7"/>
      <name val="Copperplate Gothic Light"/>
      <family val="2"/>
    </font>
    <font>
      <b/>
      <sz val="7"/>
      <name val="Copperplate Gothic Bold"/>
      <family val="2"/>
    </font>
    <font>
      <sz val="10"/>
      <color indexed="9"/>
      <name val="Copperplate Gothic Light"/>
      <family val="2"/>
    </font>
    <font>
      <b/>
      <sz val="10"/>
      <name val="Copperplate Gothic Bold"/>
      <family val="2"/>
    </font>
    <font>
      <sz val="10"/>
      <color indexed="9"/>
      <name val="Copperplate Gothic Bold"/>
      <family val="2"/>
    </font>
    <font>
      <sz val="6"/>
      <name val="Arial"/>
      <family val="0"/>
    </font>
    <font>
      <sz val="12"/>
      <name val="Copperplate Gothic Light"/>
      <family val="2"/>
    </font>
    <font>
      <sz val="5"/>
      <name val="Arial"/>
      <family val="0"/>
    </font>
    <font>
      <b/>
      <sz val="10"/>
      <name val="Copperplate Gothic Light"/>
      <family val="2"/>
    </font>
    <font>
      <sz val="6"/>
      <color indexed="9"/>
      <name val="Copperplate Gothic Light"/>
      <family val="2"/>
    </font>
    <font>
      <sz val="6"/>
      <color indexed="9"/>
      <name val="Arial"/>
      <family val="0"/>
    </font>
    <font>
      <b/>
      <sz val="6"/>
      <name val="Copperplate Gothic Light"/>
      <family val="2"/>
    </font>
    <font>
      <sz val="9"/>
      <name val="Copperplate Gothic Light"/>
      <family val="2"/>
    </font>
    <font>
      <b/>
      <sz val="7"/>
      <name val="Arial"/>
      <family val="0"/>
    </font>
    <font>
      <sz val="7"/>
      <color indexed="9"/>
      <name val="Copperplate Gothic Light"/>
      <family val="2"/>
    </font>
    <font>
      <b/>
      <sz val="8"/>
      <name val="Arial"/>
      <family val="0"/>
    </font>
    <font>
      <strike/>
      <sz val="10"/>
      <name val="Arial"/>
      <family val="2"/>
    </font>
    <font>
      <b/>
      <sz val="8"/>
      <color indexed="9"/>
      <name val="Copperplate Gothic Light"/>
      <family val="2"/>
    </font>
    <font>
      <sz val="8"/>
      <color indexed="50"/>
      <name val="Copperplate Gothic Light"/>
      <family val="2"/>
    </font>
    <font>
      <sz val="6"/>
      <color indexed="50"/>
      <name val="Copperplate Gothic Light"/>
      <family val="2"/>
    </font>
    <font>
      <sz val="6"/>
      <color indexed="50"/>
      <name val="Arial"/>
      <family val="0"/>
    </font>
    <font>
      <b/>
      <sz val="16"/>
      <name val="Copperplate Gothic Light"/>
      <family val="2"/>
    </font>
  </fonts>
  <fills count="2">
    <fill>
      <patternFill/>
    </fill>
    <fill>
      <patternFill patternType="gray125"/>
    </fill>
  </fills>
  <borders count="30">
    <border>
      <left/>
      <right/>
      <top/>
      <bottom/>
      <diagonal/>
    </border>
    <border>
      <left>
        <color indexed="63"/>
      </left>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style="thin"/>
      <right style="double"/>
      <top style="double"/>
      <bottom>
        <color indexed="63"/>
      </bottom>
    </border>
    <border>
      <left style="double"/>
      <right>
        <color indexed="63"/>
      </right>
      <top style="medium"/>
      <bottom>
        <color indexed="63"/>
      </bottom>
    </border>
    <border>
      <left style="thin"/>
      <right style="thin"/>
      <top style="medium"/>
      <bottom style="thin"/>
    </border>
    <border>
      <left style="thin"/>
      <right style="double"/>
      <top style="medium"/>
      <bottom style="thin"/>
    </border>
    <border>
      <left style="double"/>
      <right>
        <color indexed="63"/>
      </right>
      <top>
        <color indexed="63"/>
      </top>
      <bottom>
        <color indexed="63"/>
      </bottom>
    </border>
    <border>
      <left style="thin"/>
      <right style="thin"/>
      <top style="thin"/>
      <bottom style="thin"/>
    </border>
    <border>
      <left style="thin"/>
      <right style="double"/>
      <top style="thin"/>
      <bottom style="thin"/>
    </border>
    <border>
      <left style="double"/>
      <right>
        <color indexed="63"/>
      </right>
      <top>
        <color indexed="63"/>
      </top>
      <bottom style="medium"/>
    </border>
    <border>
      <left style="thin"/>
      <right style="thin"/>
      <top style="thin"/>
      <bottom style="medium"/>
    </border>
    <border>
      <left style="thin"/>
      <right style="double"/>
      <top style="thin"/>
      <bottom style="medium"/>
    </border>
    <border>
      <left style="double"/>
      <right>
        <color indexed="63"/>
      </right>
      <top style="medium"/>
      <bottom style="mediu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color indexed="63"/>
      </top>
      <bottom style="double"/>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50">
    <xf numFmtId="0" fontId="0" fillId="0" borderId="0" xfId="0" applyAlignment="1">
      <alignment/>
    </xf>
    <xf numFmtId="0" fontId="2" fillId="0" borderId="0" xfId="0" applyFont="1" applyAlignment="1">
      <alignment horizontal="center" vertical="center"/>
    </xf>
    <xf numFmtId="49" fontId="2" fillId="0" borderId="0" xfId="0" applyNumberFormat="1" applyFont="1" applyAlignment="1">
      <alignment horizontal="center" vertical="center"/>
    </xf>
    <xf numFmtId="9" fontId="2" fillId="0" borderId="0" xfId="0" applyNumberFormat="1" applyFont="1" applyAlignment="1">
      <alignment horizontal="center" vertical="center"/>
    </xf>
    <xf numFmtId="0" fontId="2" fillId="0" borderId="0" xfId="0" applyFont="1" applyAlignment="1">
      <alignment horizontal="center"/>
    </xf>
    <xf numFmtId="0" fontId="2" fillId="0" borderId="0" xfId="0" applyFont="1" applyAlignment="1">
      <alignment/>
    </xf>
    <xf numFmtId="49" fontId="3" fillId="0" borderId="0" xfId="0" applyNumberFormat="1" applyFont="1" applyAlignment="1">
      <alignment horizontal="center" vertical="center" wrapText="1"/>
    </xf>
    <xf numFmtId="0" fontId="2" fillId="0" borderId="0" xfId="0" applyFont="1" applyAlignment="1">
      <alignment vertical="center"/>
    </xf>
    <xf numFmtId="49" fontId="2" fillId="0" borderId="0" xfId="0" applyNumberFormat="1" applyFont="1" applyAlignment="1">
      <alignment horizontal="center"/>
    </xf>
    <xf numFmtId="0" fontId="1" fillId="0" borderId="0" xfId="0" applyFont="1" applyAlignment="1">
      <alignment/>
    </xf>
    <xf numFmtId="0" fontId="0" fillId="0" borderId="0" xfId="0" applyBorder="1" applyAlignment="1">
      <alignment/>
    </xf>
    <xf numFmtId="0" fontId="0" fillId="0" borderId="0" xfId="0" applyAlignment="1">
      <alignment horizontal="left"/>
    </xf>
    <xf numFmtId="0" fontId="5"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12" fillId="0" borderId="0" xfId="0" applyFont="1" applyAlignment="1">
      <alignment vertical="center"/>
    </xf>
    <xf numFmtId="0" fontId="12" fillId="0" borderId="0" xfId="0" applyFont="1" applyAlignment="1">
      <alignment horizontal="center" vertical="center"/>
    </xf>
    <xf numFmtId="0" fontId="14" fillId="0" borderId="0" xfId="0" applyFont="1" applyAlignment="1">
      <alignment/>
    </xf>
    <xf numFmtId="0" fontId="14" fillId="0" borderId="0" xfId="0" applyFont="1" applyAlignment="1">
      <alignment horizontal="center"/>
    </xf>
    <xf numFmtId="0" fontId="14" fillId="0" borderId="0" xfId="0" applyFont="1" applyAlignment="1">
      <alignment horizontal="right"/>
    </xf>
    <xf numFmtId="0" fontId="15" fillId="0" borderId="0" xfId="0" applyFont="1" applyAlignment="1">
      <alignment/>
    </xf>
    <xf numFmtId="0" fontId="15" fillId="0" borderId="0" xfId="0" applyFont="1" applyAlignment="1">
      <alignment horizontal="center"/>
    </xf>
    <xf numFmtId="0" fontId="15" fillId="0" borderId="0" xfId="0" applyFont="1" applyAlignment="1">
      <alignment horizontal="right"/>
    </xf>
    <xf numFmtId="0" fontId="2" fillId="0" borderId="0" xfId="0" applyFont="1" applyAlignment="1">
      <alignment horizontal="right"/>
    </xf>
    <xf numFmtId="0" fontId="16" fillId="0" borderId="2" xfId="0" applyFont="1" applyBorder="1" applyAlignment="1">
      <alignment/>
    </xf>
    <xf numFmtId="0" fontId="16" fillId="0" borderId="3" xfId="0" applyFont="1" applyBorder="1" applyAlignment="1">
      <alignment/>
    </xf>
    <xf numFmtId="0" fontId="17" fillId="0" borderId="4" xfId="0" applyFont="1" applyBorder="1" applyAlignment="1">
      <alignment horizontal="center"/>
    </xf>
    <xf numFmtId="0" fontId="18" fillId="0" borderId="4" xfId="0" applyFont="1" applyBorder="1" applyAlignment="1">
      <alignment horizontal="center"/>
    </xf>
    <xf numFmtId="0" fontId="18" fillId="0" borderId="5" xfId="0" applyFont="1" applyBorder="1" applyAlignment="1">
      <alignment horizontal="center"/>
    </xf>
    <xf numFmtId="0" fontId="16" fillId="0" borderId="6" xfId="0" applyFont="1" applyBorder="1" applyAlignment="1">
      <alignment/>
    </xf>
    <xf numFmtId="0" fontId="16" fillId="0" borderId="7" xfId="0" applyFont="1" applyBorder="1" applyAlignment="1">
      <alignment/>
    </xf>
    <xf numFmtId="0" fontId="19" fillId="0" borderId="7" xfId="0" applyFont="1" applyBorder="1" applyAlignment="1">
      <alignment/>
    </xf>
    <xf numFmtId="0" fontId="19" fillId="0" borderId="8" xfId="0" applyFont="1" applyBorder="1" applyAlignment="1">
      <alignment/>
    </xf>
    <xf numFmtId="0" fontId="20" fillId="0" borderId="9" xfId="0" applyFont="1" applyBorder="1" applyAlignment="1">
      <alignment horizontal="center"/>
    </xf>
    <xf numFmtId="0" fontId="16" fillId="0" borderId="10" xfId="0" applyFont="1" applyBorder="1" applyAlignment="1">
      <alignment/>
    </xf>
    <xf numFmtId="0" fontId="19" fillId="0" borderId="10" xfId="0" applyFont="1" applyBorder="1" applyAlignment="1">
      <alignment/>
    </xf>
    <xf numFmtId="0" fontId="19" fillId="0" borderId="11" xfId="0" applyFont="1" applyBorder="1" applyAlignment="1">
      <alignment/>
    </xf>
    <xf numFmtId="0" fontId="16" fillId="0" borderId="12" xfId="0" applyFont="1" applyBorder="1" applyAlignment="1">
      <alignment/>
    </xf>
    <xf numFmtId="0" fontId="16" fillId="0" borderId="13" xfId="0" applyFont="1" applyBorder="1" applyAlignment="1">
      <alignment/>
    </xf>
    <xf numFmtId="0" fontId="19" fillId="0" borderId="13" xfId="0" applyFont="1" applyBorder="1" applyAlignment="1">
      <alignment/>
    </xf>
    <xf numFmtId="0" fontId="19" fillId="0" borderId="14" xfId="0" applyFont="1" applyBorder="1" applyAlignment="1">
      <alignment/>
    </xf>
    <xf numFmtId="0" fontId="20" fillId="0" borderId="15" xfId="0" applyFont="1" applyBorder="1" applyAlignment="1">
      <alignment horizontal="center"/>
    </xf>
    <xf numFmtId="0" fontId="16" fillId="0" borderId="16" xfId="0" applyFont="1" applyBorder="1" applyAlignment="1">
      <alignment/>
    </xf>
    <xf numFmtId="0" fontId="21" fillId="0" borderId="16" xfId="0" applyFont="1" applyBorder="1" applyAlignment="1">
      <alignment/>
    </xf>
    <xf numFmtId="0" fontId="21" fillId="0" borderId="17" xfId="0" applyFont="1" applyBorder="1" applyAlignment="1">
      <alignment/>
    </xf>
    <xf numFmtId="0" fontId="19" fillId="0" borderId="16" xfId="0" applyFont="1" applyBorder="1" applyAlignment="1">
      <alignment/>
    </xf>
    <xf numFmtId="0" fontId="19" fillId="0" borderId="17" xfId="0" applyFont="1" applyBorder="1" applyAlignment="1">
      <alignment/>
    </xf>
    <xf numFmtId="0" fontId="16" fillId="0" borderId="6" xfId="0" applyFont="1" applyBorder="1" applyAlignment="1">
      <alignment horizontal="center"/>
    </xf>
    <xf numFmtId="0" fontId="20" fillId="0" borderId="15" xfId="0" applyFont="1" applyBorder="1" applyAlignment="1">
      <alignment horizontal="left"/>
    </xf>
    <xf numFmtId="0" fontId="22" fillId="0" borderId="16" xfId="0" applyFont="1" applyBorder="1" applyAlignment="1">
      <alignment/>
    </xf>
    <xf numFmtId="0" fontId="22" fillId="0" borderId="17" xfId="0" applyFont="1" applyBorder="1" applyAlignment="1">
      <alignment/>
    </xf>
    <xf numFmtId="0" fontId="16" fillId="0" borderId="18" xfId="0" applyFont="1" applyBorder="1" applyAlignment="1">
      <alignment/>
    </xf>
    <xf numFmtId="0" fontId="16" fillId="0" borderId="19" xfId="0" applyFont="1" applyBorder="1" applyAlignment="1">
      <alignment/>
    </xf>
    <xf numFmtId="0" fontId="16" fillId="0" borderId="0" xfId="0" applyFont="1" applyAlignment="1">
      <alignment/>
    </xf>
    <xf numFmtId="0" fontId="0" fillId="0" borderId="0" xfId="0" applyBorder="1" applyAlignment="1">
      <alignment horizontal="center" vertical="center"/>
    </xf>
    <xf numFmtId="0" fontId="5" fillId="0" borderId="0" xfId="0" applyFont="1" applyBorder="1" applyAlignment="1">
      <alignment horizontal="left" vertical="center"/>
    </xf>
    <xf numFmtId="0" fontId="8" fillId="0" borderId="0"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vertical="center"/>
    </xf>
    <xf numFmtId="0" fontId="10" fillId="0" borderId="0" xfId="0" applyFont="1" applyBorder="1" applyAlignment="1">
      <alignment horizontal="left" vertical="center"/>
    </xf>
    <xf numFmtId="0" fontId="23" fillId="0" borderId="0" xfId="0" applyFont="1" applyBorder="1" applyAlignment="1">
      <alignment horizontal="left" vertical="center"/>
    </xf>
    <xf numFmtId="0" fontId="24" fillId="0" borderId="0" xfId="0" applyFont="1" applyAlignment="1">
      <alignment horizontal="center"/>
    </xf>
    <xf numFmtId="0" fontId="24" fillId="0" borderId="0" xfId="0" applyFont="1" applyAlignment="1">
      <alignment/>
    </xf>
    <xf numFmtId="0" fontId="8" fillId="0" borderId="0" xfId="0" applyFont="1" applyAlignment="1">
      <alignment vertical="center"/>
    </xf>
    <xf numFmtId="0" fontId="8" fillId="0" borderId="0" xfId="0" applyFont="1" applyFill="1" applyBorder="1" applyAlignment="1">
      <alignment horizontal="center" vertical="center"/>
    </xf>
    <xf numFmtId="0" fontId="26" fillId="0" borderId="0" xfId="0" applyFont="1" applyAlignment="1">
      <alignment horizontal="center" vertical="center"/>
    </xf>
    <xf numFmtId="49" fontId="26" fillId="0" borderId="0" xfId="0" applyNumberFormat="1" applyFont="1" applyAlignment="1">
      <alignment horizontal="center" vertical="center"/>
    </xf>
    <xf numFmtId="0" fontId="26" fillId="0" borderId="0" xfId="0" applyFont="1" applyAlignment="1">
      <alignment vertical="center"/>
    </xf>
    <xf numFmtId="49" fontId="28" fillId="0" borderId="0" xfId="0" applyNumberFormat="1" applyFont="1" applyAlignment="1">
      <alignment horizontal="center" vertical="center"/>
    </xf>
    <xf numFmtId="0" fontId="27" fillId="0" borderId="0" xfId="0" applyFont="1" applyBorder="1" applyAlignment="1">
      <alignment vertical="center"/>
    </xf>
    <xf numFmtId="0" fontId="0" fillId="0" borderId="0" xfId="0" applyBorder="1" applyAlignment="1">
      <alignment vertical="center"/>
    </xf>
    <xf numFmtId="0" fontId="29" fillId="0" borderId="0" xfId="0" applyFont="1" applyAlignment="1">
      <alignment horizontal="center" vertical="center"/>
    </xf>
    <xf numFmtId="0" fontId="1" fillId="0" borderId="0" xfId="0" applyFont="1" applyAlignment="1">
      <alignment horizontal="left"/>
    </xf>
    <xf numFmtId="49" fontId="0" fillId="0" borderId="0" xfId="0" applyNumberFormat="1" applyAlignment="1">
      <alignment/>
    </xf>
    <xf numFmtId="0" fontId="0" fillId="0" borderId="20" xfId="0" applyBorder="1" applyAlignment="1">
      <alignment vertical="center"/>
    </xf>
    <xf numFmtId="0" fontId="0" fillId="0" borderId="21" xfId="0"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0" xfId="0" applyAlignment="1">
      <alignment vertical="center"/>
    </xf>
    <xf numFmtId="0" fontId="1" fillId="0" borderId="23" xfId="0" applyFont="1" applyBorder="1" applyAlignment="1">
      <alignment vertical="center"/>
    </xf>
    <xf numFmtId="0" fontId="1" fillId="0" borderId="0" xfId="0" applyFont="1" applyBorder="1" applyAlignment="1">
      <alignment vertical="center"/>
    </xf>
    <xf numFmtId="0" fontId="1" fillId="0" borderId="24" xfId="0" applyFont="1" applyBorder="1" applyAlignment="1">
      <alignment vertical="center"/>
    </xf>
    <xf numFmtId="0" fontId="1" fillId="0" borderId="0" xfId="0" applyFont="1" applyAlignment="1">
      <alignment vertical="center"/>
    </xf>
    <xf numFmtId="0" fontId="0" fillId="0" borderId="23" xfId="0" applyBorder="1" applyAlignment="1">
      <alignment vertical="center"/>
    </xf>
    <xf numFmtId="0" fontId="1" fillId="0" borderId="10" xfId="0" applyFont="1" applyBorder="1" applyAlignment="1">
      <alignment horizontal="center" vertical="center"/>
    </xf>
    <xf numFmtId="0" fontId="1" fillId="0" borderId="24"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vertical="center"/>
    </xf>
    <xf numFmtId="0" fontId="0" fillId="0" borderId="26" xfId="0" applyBorder="1" applyAlignment="1">
      <alignment horizontal="center" vertical="center"/>
    </xf>
    <xf numFmtId="0" fontId="0" fillId="0" borderId="26" xfId="0" applyBorder="1" applyAlignment="1">
      <alignment vertical="center"/>
    </xf>
    <xf numFmtId="0" fontId="0" fillId="0" borderId="27" xfId="0" applyBorder="1" applyAlignment="1">
      <alignment horizontal="center" vertical="center"/>
    </xf>
    <xf numFmtId="0" fontId="0" fillId="0" borderId="0" xfId="0"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49" fontId="0" fillId="0" borderId="0" xfId="0" applyNumberFormat="1" applyAlignment="1">
      <alignment vertical="center"/>
    </xf>
    <xf numFmtId="49" fontId="0" fillId="0" borderId="0" xfId="0" applyNumberFormat="1" applyAlignment="1">
      <alignment horizontal="center" vertical="center"/>
    </xf>
    <xf numFmtId="49" fontId="1" fillId="0" borderId="0" xfId="0" applyNumberFormat="1" applyFont="1" applyAlignment="1">
      <alignment/>
    </xf>
    <xf numFmtId="0" fontId="1" fillId="0" borderId="0" xfId="0" applyFont="1" applyAlignment="1" quotePrefix="1">
      <alignment horizontal="left" vertical="center"/>
    </xf>
    <xf numFmtId="0" fontId="1" fillId="0" borderId="0" xfId="0" applyFont="1" applyAlignment="1" quotePrefix="1">
      <alignment horizontal="center" vertical="center"/>
    </xf>
    <xf numFmtId="0" fontId="0" fillId="0" borderId="0" xfId="0" applyAlignment="1" quotePrefix="1">
      <alignment horizontal="center" vertical="center" wrapText="1"/>
    </xf>
    <xf numFmtId="0" fontId="0" fillId="0" borderId="0" xfId="0" applyAlignment="1" quotePrefix="1">
      <alignment horizontal="center" vertical="center"/>
    </xf>
    <xf numFmtId="0" fontId="0" fillId="0" borderId="0" xfId="0" applyAlignment="1" quotePrefix="1">
      <alignment horizontal="left"/>
    </xf>
    <xf numFmtId="0" fontId="0" fillId="0" borderId="0" xfId="0" applyAlignment="1" quotePrefix="1">
      <alignment/>
    </xf>
    <xf numFmtId="0" fontId="5" fillId="0" borderId="26" xfId="0" applyFont="1" applyBorder="1" applyAlignment="1">
      <alignment horizontal="center" vertical="center"/>
    </xf>
    <xf numFmtId="0" fontId="7" fillId="0" borderId="26" xfId="0" applyFont="1" applyBorder="1" applyAlignment="1">
      <alignment horizontal="center" vertical="center"/>
    </xf>
    <xf numFmtId="0" fontId="7" fillId="0" borderId="26" xfId="0" applyFont="1" applyBorder="1" applyAlignment="1">
      <alignment vertical="center"/>
    </xf>
    <xf numFmtId="0" fontId="5" fillId="0" borderId="26" xfId="0" applyFont="1" applyBorder="1" applyAlignment="1">
      <alignment horizontal="center" vertical="center" wrapText="1"/>
    </xf>
    <xf numFmtId="1" fontId="2" fillId="0" borderId="0" xfId="0" applyNumberFormat="1" applyFont="1" applyAlignment="1">
      <alignment horizontal="center" vertical="center"/>
    </xf>
    <xf numFmtId="0" fontId="8" fillId="0" borderId="0" xfId="0" applyFont="1" applyBorder="1" applyAlignment="1">
      <alignment vertical="center"/>
    </xf>
    <xf numFmtId="0" fontId="5" fillId="0" borderId="23" xfId="0" applyFont="1" applyBorder="1" applyAlignment="1">
      <alignment horizontal="center" vertical="center"/>
    </xf>
    <xf numFmtId="0" fontId="7" fillId="0" borderId="24" xfId="0" applyFont="1" applyBorder="1" applyAlignment="1">
      <alignment vertical="center"/>
    </xf>
    <xf numFmtId="0" fontId="7" fillId="0" borderId="1" xfId="0" applyFont="1" applyBorder="1" applyAlignment="1">
      <alignment horizontal="center" vertical="center"/>
    </xf>
    <xf numFmtId="0" fontId="7" fillId="0" borderId="1" xfId="0" applyFont="1" applyBorder="1" applyAlignment="1">
      <alignment vertical="center"/>
    </xf>
    <xf numFmtId="0" fontId="31" fillId="0" borderId="0" xfId="0" applyFont="1" applyAlignment="1">
      <alignment vertical="center"/>
    </xf>
    <xf numFmtId="0" fontId="0" fillId="0" borderId="27" xfId="0" applyBorder="1" applyAlignment="1">
      <alignment vertical="center"/>
    </xf>
    <xf numFmtId="0" fontId="10" fillId="0" borderId="0" xfId="0" applyFont="1" applyAlignment="1">
      <alignment vertical="center"/>
    </xf>
    <xf numFmtId="0" fontId="12" fillId="0" borderId="26" xfId="0" applyFont="1" applyBorder="1" applyAlignment="1">
      <alignment vertical="center"/>
    </xf>
    <xf numFmtId="0" fontId="12" fillId="0" borderId="26" xfId="0" applyNumberFormat="1" applyFont="1" applyBorder="1" applyAlignment="1">
      <alignment vertical="center"/>
    </xf>
    <xf numFmtId="0" fontId="5" fillId="0" borderId="0" xfId="0" applyFont="1" applyAlignment="1">
      <alignment vertical="center"/>
    </xf>
    <xf numFmtId="49" fontId="12" fillId="0" borderId="0"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12" fillId="0" borderId="0" xfId="0" applyNumberFormat="1" applyFont="1" applyBorder="1" applyAlignment="1">
      <alignment vertical="center"/>
    </xf>
    <xf numFmtId="0" fontId="8" fillId="0" borderId="0" xfId="0" applyFont="1" applyAlignment="1">
      <alignment horizontal="left" vertical="center"/>
    </xf>
    <xf numFmtId="0" fontId="33" fillId="0" borderId="0" xfId="0" applyFont="1" applyAlignment="1">
      <alignment vertical="center"/>
    </xf>
    <xf numFmtId="0" fontId="12" fillId="0" borderId="26" xfId="0" applyNumberFormat="1" applyFont="1" applyBorder="1" applyAlignment="1">
      <alignment horizontal="center" vertical="center"/>
    </xf>
    <xf numFmtId="49" fontId="12" fillId="0" borderId="26" xfId="0" applyNumberFormat="1" applyFont="1" applyBorder="1" applyAlignment="1">
      <alignment horizontal="center" vertical="center"/>
    </xf>
    <xf numFmtId="0" fontId="12" fillId="0" borderId="20"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1" fontId="12" fillId="0" borderId="26" xfId="0" applyNumberFormat="1" applyFont="1" applyBorder="1" applyAlignment="1">
      <alignment horizontal="center" vertical="center"/>
    </xf>
    <xf numFmtId="0" fontId="12" fillId="0" borderId="25" xfId="0" applyNumberFormat="1" applyFont="1" applyBorder="1" applyAlignment="1">
      <alignment horizontal="center" vertical="center"/>
    </xf>
    <xf numFmtId="0" fontId="32" fillId="0" borderId="0" xfId="0" applyFont="1" applyAlignment="1">
      <alignment vertical="center"/>
    </xf>
    <xf numFmtId="49" fontId="12" fillId="0" borderId="0" xfId="0" applyNumberFormat="1" applyFont="1" applyBorder="1" applyAlignment="1">
      <alignment vertical="center"/>
    </xf>
    <xf numFmtId="0" fontId="0" fillId="0" borderId="0" xfId="0" applyBorder="1" applyAlignment="1">
      <alignment horizontal="left" vertical="center"/>
    </xf>
    <xf numFmtId="0" fontId="12" fillId="0" borderId="0" xfId="0" applyFont="1" applyBorder="1" applyAlignment="1">
      <alignment vertical="center"/>
    </xf>
    <xf numFmtId="1" fontId="12" fillId="0" borderId="0" xfId="0" applyNumberFormat="1" applyFont="1" applyBorder="1" applyAlignment="1">
      <alignment horizontal="center" vertical="center"/>
    </xf>
    <xf numFmtId="0" fontId="27" fillId="0" borderId="0" xfId="0" applyNumberFormat="1" applyFont="1" applyBorder="1" applyAlignment="1">
      <alignment vertical="center"/>
    </xf>
    <xf numFmtId="49" fontId="12" fillId="0" borderId="21" xfId="0" applyNumberFormat="1" applyFont="1" applyBorder="1" applyAlignment="1">
      <alignment horizontal="center" vertical="center"/>
    </xf>
    <xf numFmtId="1" fontId="12" fillId="0" borderId="21" xfId="0" applyNumberFormat="1" applyFont="1" applyBorder="1" applyAlignment="1">
      <alignment horizontal="center" vertical="center"/>
    </xf>
    <xf numFmtId="49" fontId="12" fillId="0" borderId="21" xfId="0" applyNumberFormat="1" applyFont="1" applyBorder="1" applyAlignment="1">
      <alignment vertical="center"/>
    </xf>
    <xf numFmtId="0" fontId="12" fillId="0" borderId="21" xfId="0" applyNumberFormat="1" applyFont="1" applyBorder="1" applyAlignment="1">
      <alignment vertical="center"/>
    </xf>
    <xf numFmtId="0" fontId="27" fillId="0" borderId="21" xfId="0" applyNumberFormat="1" applyFont="1" applyBorder="1" applyAlignment="1">
      <alignment vertical="center"/>
    </xf>
    <xf numFmtId="0" fontId="10" fillId="0" borderId="0" xfId="0" applyFont="1" applyBorder="1" applyAlignment="1">
      <alignment vertical="center"/>
    </xf>
    <xf numFmtId="0" fontId="9" fillId="0" borderId="0" xfId="0" applyFont="1" applyAlignment="1">
      <alignment vertical="center"/>
    </xf>
    <xf numFmtId="1" fontId="12" fillId="0" borderId="10" xfId="0" applyNumberFormat="1" applyFont="1" applyBorder="1" applyAlignment="1">
      <alignment horizontal="center" vertical="center"/>
    </xf>
    <xf numFmtId="0" fontId="12" fillId="0" borderId="10" xfId="0" applyNumberFormat="1" applyFont="1" applyBorder="1" applyAlignment="1">
      <alignment horizontal="center" vertical="center"/>
    </xf>
    <xf numFmtId="0" fontId="29" fillId="0" borderId="0" xfId="0" applyFont="1" applyAlignment="1">
      <alignment vertical="center"/>
    </xf>
    <xf numFmtId="0" fontId="36" fillId="0" borderId="0" xfId="0" applyFont="1" applyBorder="1" applyAlignment="1">
      <alignment horizontal="center"/>
    </xf>
    <xf numFmtId="0" fontId="29" fillId="0" borderId="0" xfId="0" applyFont="1" applyBorder="1" applyAlignment="1">
      <alignment horizontal="center" vertical="center"/>
    </xf>
    <xf numFmtId="0" fontId="24" fillId="0" borderId="0" xfId="0" applyFont="1" applyBorder="1" applyAlignment="1">
      <alignment/>
    </xf>
    <xf numFmtId="0" fontId="24" fillId="0" borderId="0" xfId="0" applyFont="1" applyBorder="1" applyAlignment="1">
      <alignment horizontal="center"/>
    </xf>
    <xf numFmtId="0" fontId="23" fillId="0" borderId="0" xfId="0" applyFont="1" applyBorder="1" applyAlignment="1">
      <alignment horizontal="center" vertical="center"/>
    </xf>
    <xf numFmtId="0" fontId="2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2" fillId="0" borderId="27" xfId="0" applyNumberFormat="1" applyFont="1" applyBorder="1" applyAlignment="1">
      <alignment horizontal="left" vertical="center"/>
    </xf>
    <xf numFmtId="0" fontId="12" fillId="0" borderId="25" xfId="0" applyNumberFormat="1" applyFont="1" applyBorder="1" applyAlignment="1">
      <alignment horizontal="right" vertical="center"/>
    </xf>
    <xf numFmtId="0" fontId="7" fillId="0" borderId="22" xfId="0" applyFont="1" applyBorder="1" applyAlignment="1">
      <alignment vertical="center"/>
    </xf>
    <xf numFmtId="0" fontId="29" fillId="0" borderId="0" xfId="0" applyNumberFormat="1" applyFont="1" applyBorder="1" applyAlignment="1">
      <alignment horizontal="left" vertical="center"/>
    </xf>
    <xf numFmtId="0" fontId="29" fillId="0" borderId="26" xfId="0" applyNumberFormat="1" applyFont="1" applyBorder="1" applyAlignment="1">
      <alignment horizontal="left" vertical="center"/>
    </xf>
    <xf numFmtId="0" fontId="11" fillId="0" borderId="0" xfId="0" applyFont="1" applyAlignment="1">
      <alignment/>
    </xf>
    <xf numFmtId="9" fontId="11" fillId="0" borderId="0" xfId="0" applyNumberFormat="1" applyFont="1" applyAlignment="1">
      <alignment/>
    </xf>
    <xf numFmtId="9" fontId="0" fillId="0" borderId="0" xfId="0" applyNumberFormat="1" applyAlignment="1">
      <alignment/>
    </xf>
    <xf numFmtId="9" fontId="0" fillId="0" borderId="0" xfId="0" applyNumberFormat="1" applyAlignment="1">
      <alignment horizontal="right"/>
    </xf>
    <xf numFmtId="0" fontId="5" fillId="0" borderId="26" xfId="0" applyFont="1" applyBorder="1" applyAlignment="1">
      <alignment vertical="center"/>
    </xf>
    <xf numFmtId="9" fontId="9" fillId="0" borderId="0" xfId="0" applyNumberFormat="1" applyFont="1" applyAlignment="1">
      <alignment vertical="center"/>
    </xf>
    <xf numFmtId="0" fontId="9" fillId="0" borderId="0" xfId="0" applyFont="1" applyAlignment="1" applyProtection="1">
      <alignment vertical="center"/>
      <protection locked="0"/>
    </xf>
    <xf numFmtId="9" fontId="5" fillId="0" borderId="0" xfId="0" applyNumberFormat="1" applyFont="1" applyBorder="1" applyAlignment="1">
      <alignment horizontal="center" vertical="center"/>
    </xf>
    <xf numFmtId="0" fontId="5" fillId="0" borderId="27" xfId="0" applyFont="1" applyBorder="1" applyAlignment="1">
      <alignment vertical="center"/>
    </xf>
    <xf numFmtId="0" fontId="0" fillId="0" borderId="0" xfId="0" applyFont="1" applyBorder="1" applyAlignment="1">
      <alignment horizontal="center" vertical="center"/>
    </xf>
    <xf numFmtId="0" fontId="5" fillId="0" borderId="0" xfId="0" applyFont="1" applyBorder="1" applyAlignment="1" applyProtection="1">
      <alignment horizontal="center" vertical="center" wrapText="1"/>
      <protection locked="0"/>
    </xf>
    <xf numFmtId="0" fontId="31" fillId="0" borderId="0" xfId="0" applyFont="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12" fillId="0" borderId="0" xfId="0" applyFont="1" applyBorder="1" applyAlignment="1">
      <alignment horizontal="justify" vertical="center"/>
    </xf>
    <xf numFmtId="0" fontId="27" fillId="0" borderId="0" xfId="0" applyFont="1" applyBorder="1" applyAlignment="1">
      <alignment horizontal="justify" vertical="center"/>
    </xf>
    <xf numFmtId="0" fontId="10" fillId="0" borderId="0" xfId="0" applyFont="1" applyBorder="1" applyAlignment="1">
      <alignment horizontal="center" vertical="center"/>
    </xf>
    <xf numFmtId="0" fontId="41" fillId="0" borderId="26" xfId="0" applyFont="1" applyBorder="1" applyAlignment="1">
      <alignment vertical="center"/>
    </xf>
    <xf numFmtId="0" fontId="41" fillId="0" borderId="1" xfId="0" applyFont="1" applyBorder="1" applyAlignment="1">
      <alignment vertical="center"/>
    </xf>
    <xf numFmtId="49" fontId="41" fillId="0" borderId="1" xfId="0" applyNumberFormat="1" applyFont="1" applyBorder="1" applyAlignment="1">
      <alignment horizontal="right" vertical="center"/>
    </xf>
    <xf numFmtId="49" fontId="5" fillId="0" borderId="26" xfId="0" applyNumberFormat="1" applyFont="1" applyBorder="1" applyAlignment="1">
      <alignment horizontal="center" vertical="center"/>
    </xf>
    <xf numFmtId="0" fontId="5" fillId="0" borderId="1" xfId="0" applyFont="1" applyBorder="1" applyAlignment="1">
      <alignment vertical="center"/>
    </xf>
    <xf numFmtId="49" fontId="5" fillId="0" borderId="1" xfId="0" applyNumberFormat="1" applyFont="1" applyBorder="1" applyAlignment="1">
      <alignment horizontal="center" vertical="center"/>
    </xf>
    <xf numFmtId="0" fontId="9" fillId="0" borderId="1" xfId="0" applyFont="1" applyBorder="1" applyAlignment="1">
      <alignment vertical="center"/>
    </xf>
    <xf numFmtId="49" fontId="5" fillId="0" borderId="1" xfId="0" applyNumberFormat="1" applyFont="1" applyBorder="1" applyAlignment="1">
      <alignment horizontal="right" vertical="center"/>
    </xf>
    <xf numFmtId="0" fontId="32" fillId="0" borderId="0" xfId="0" applyFont="1" applyAlignment="1">
      <alignment horizontal="left" vertical="center"/>
    </xf>
    <xf numFmtId="0" fontId="28" fillId="0" borderId="0" xfId="0" applyFont="1" applyAlignment="1">
      <alignment vertical="center"/>
    </xf>
    <xf numFmtId="49" fontId="41" fillId="0" borderId="26" xfId="0" applyNumberFormat="1" applyFont="1" applyBorder="1" applyAlignment="1">
      <alignment horizontal="right" vertical="center"/>
    </xf>
    <xf numFmtId="0" fontId="0" fillId="0" borderId="10" xfId="0" applyBorder="1" applyAlignment="1">
      <alignment/>
    </xf>
    <xf numFmtId="9" fontId="0" fillId="0" borderId="0" xfId="0" applyNumberFormat="1" applyBorder="1" applyAlignment="1">
      <alignment vertical="center"/>
    </xf>
    <xf numFmtId="0" fontId="7" fillId="0" borderId="0" xfId="0" applyFont="1" applyAlignment="1">
      <alignment/>
    </xf>
    <xf numFmtId="0" fontId="7" fillId="0" borderId="23" xfId="0" applyFont="1" applyBorder="1" applyAlignment="1">
      <alignment/>
    </xf>
    <xf numFmtId="0" fontId="7" fillId="0" borderId="0" xfId="0" applyFont="1" applyBorder="1" applyAlignment="1">
      <alignment/>
    </xf>
    <xf numFmtId="0" fontId="7" fillId="0" borderId="24" xfId="0" applyFont="1" applyBorder="1" applyAlignment="1">
      <alignment/>
    </xf>
    <xf numFmtId="0" fontId="7" fillId="0" borderId="20" xfId="0" applyFont="1" applyBorder="1" applyAlignment="1">
      <alignment/>
    </xf>
    <xf numFmtId="0" fontId="7" fillId="0" borderId="21" xfId="0" applyFont="1" applyBorder="1" applyAlignment="1">
      <alignment/>
    </xf>
    <xf numFmtId="1" fontId="0" fillId="0" borderId="0" xfId="0" applyNumberFormat="1" applyAlignment="1">
      <alignment/>
    </xf>
    <xf numFmtId="9" fontId="5" fillId="0" borderId="0" xfId="0" applyNumberFormat="1" applyFont="1" applyAlignment="1">
      <alignment horizontal="center" vertical="center"/>
    </xf>
    <xf numFmtId="0" fontId="7" fillId="0" borderId="0" xfId="0" applyFont="1" applyBorder="1" applyAlignment="1">
      <alignment horizontal="center"/>
    </xf>
    <xf numFmtId="0" fontId="0" fillId="0" borderId="0" xfId="0" applyAlignment="1">
      <alignment/>
    </xf>
    <xf numFmtId="0" fontId="12" fillId="0" borderId="0" xfId="0" applyFont="1" applyAlignment="1">
      <alignment/>
    </xf>
    <xf numFmtId="0" fontId="27" fillId="0" borderId="0" xfId="0" applyFont="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4" xfId="0" applyBorder="1" applyAlignment="1">
      <alignment/>
    </xf>
    <xf numFmtId="9" fontId="9" fillId="0" borderId="0" xfId="0" applyNumberFormat="1" applyFont="1" applyAlignment="1" applyProtection="1">
      <alignment vertical="center"/>
      <protection/>
    </xf>
    <xf numFmtId="0" fontId="9" fillId="0" borderId="0" xfId="0" applyFont="1" applyAlignment="1" applyProtection="1">
      <alignment vertical="center"/>
      <protection/>
    </xf>
    <xf numFmtId="0" fontId="0" fillId="0" borderId="0" xfId="0" applyBorder="1" applyAlignment="1">
      <alignment/>
    </xf>
    <xf numFmtId="0" fontId="13" fillId="0" borderId="0" xfId="0" applyFont="1" applyAlignment="1">
      <alignment/>
    </xf>
    <xf numFmtId="0" fontId="13" fillId="0" borderId="0" xfId="0" applyFont="1" applyBorder="1" applyAlignment="1">
      <alignment horizontal="center" vertical="center"/>
    </xf>
    <xf numFmtId="0" fontId="7" fillId="0" borderId="0" xfId="0" applyFont="1" applyBorder="1" applyAlignment="1">
      <alignment/>
    </xf>
    <xf numFmtId="0" fontId="5" fillId="0" borderId="24" xfId="0" applyFont="1" applyBorder="1" applyAlignment="1">
      <alignment vertical="center"/>
    </xf>
    <xf numFmtId="0" fontId="5" fillId="0" borderId="23" xfId="0" applyFont="1" applyBorder="1" applyAlignment="1">
      <alignment vertical="center"/>
    </xf>
    <xf numFmtId="0" fontId="5" fillId="0" borderId="25" xfId="0" applyFont="1" applyBorder="1" applyAlignment="1">
      <alignment vertical="center"/>
    </xf>
    <xf numFmtId="0" fontId="12" fillId="0" borderId="0" xfId="0" applyFont="1" applyBorder="1" applyAlignment="1">
      <alignment horizontal="center" vertical="center"/>
    </xf>
    <xf numFmtId="0" fontId="0" fillId="0" borderId="24" xfId="0" applyBorder="1" applyAlignment="1">
      <alignment vertical="center"/>
    </xf>
    <xf numFmtId="0" fontId="7" fillId="0" borderId="23" xfId="0" applyFont="1" applyBorder="1" applyAlignment="1">
      <alignment vertical="center"/>
    </xf>
    <xf numFmtId="0" fontId="7" fillId="0" borderId="25" xfId="0" applyFont="1" applyBorder="1" applyAlignment="1">
      <alignment vertical="center"/>
    </xf>
    <xf numFmtId="0" fontId="7" fillId="0" borderId="27" xfId="0" applyFont="1" applyBorder="1" applyAlignment="1">
      <alignment vertical="center"/>
    </xf>
    <xf numFmtId="0" fontId="27" fillId="0" borderId="0" xfId="0" applyFont="1" applyAlignment="1">
      <alignment vertical="center" wrapText="1"/>
    </xf>
    <xf numFmtId="0" fontId="5" fillId="0" borderId="0" xfId="0" applyFont="1" applyAlignment="1" applyProtection="1">
      <alignment vertical="center"/>
      <protection/>
    </xf>
    <xf numFmtId="0" fontId="5" fillId="0" borderId="0" xfId="0" applyFont="1" applyBorder="1" applyAlignment="1" applyProtection="1">
      <alignment vertical="center"/>
      <protection/>
    </xf>
    <xf numFmtId="0" fontId="38" fillId="0" borderId="0" xfId="0" applyFont="1" applyAlignment="1" applyProtection="1">
      <alignment horizontal="center" vertical="center"/>
      <protection/>
    </xf>
    <xf numFmtId="0" fontId="38" fillId="0" borderId="0" xfId="0" applyFont="1" applyAlignment="1" applyProtection="1">
      <alignment vertical="center"/>
      <protection/>
    </xf>
    <xf numFmtId="0" fontId="11" fillId="0" borderId="0" xfId="0" applyFont="1" applyBorder="1" applyAlignment="1" applyProtection="1">
      <alignment vertical="center"/>
      <protection/>
    </xf>
    <xf numFmtId="0" fontId="40" fillId="0" borderId="0" xfId="0" applyFont="1" applyBorder="1" applyAlignment="1" applyProtection="1">
      <alignment horizontal="center" vertical="center"/>
      <protection/>
    </xf>
    <xf numFmtId="0" fontId="5" fillId="0" borderId="26" xfId="0" applyFont="1" applyBorder="1" applyAlignment="1" applyProtection="1">
      <alignment vertical="center"/>
      <protection/>
    </xf>
    <xf numFmtId="9" fontId="38" fillId="0" borderId="26" xfId="0" applyNumberFormat="1" applyFont="1" applyBorder="1" applyAlignment="1" applyProtection="1">
      <alignment vertical="center"/>
      <protection/>
    </xf>
    <xf numFmtId="0" fontId="38" fillId="0" borderId="26"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9" fontId="38" fillId="0" borderId="0" xfId="0" applyNumberFormat="1" applyFont="1" applyBorder="1" applyAlignment="1" applyProtection="1">
      <alignment horizontal="center" vertical="center"/>
      <protection/>
    </xf>
    <xf numFmtId="0" fontId="39" fillId="0" borderId="0" xfId="0" applyFont="1" applyBorder="1" applyAlignment="1" applyProtection="1">
      <alignment horizontal="center" vertical="center"/>
      <protection/>
    </xf>
    <xf numFmtId="9" fontId="38" fillId="0" borderId="0" xfId="0" applyNumberFormat="1" applyFont="1" applyBorder="1" applyAlignment="1" applyProtection="1">
      <alignment vertical="center"/>
      <protection/>
    </xf>
    <xf numFmtId="9" fontId="39" fillId="0" borderId="0" xfId="0" applyNumberFormat="1" applyFont="1" applyBorder="1" applyAlignment="1" applyProtection="1">
      <alignment horizontal="center" vertical="center"/>
      <protection/>
    </xf>
    <xf numFmtId="0" fontId="38" fillId="0" borderId="0" xfId="0" applyFont="1" applyBorder="1" applyAlignment="1" applyProtection="1">
      <alignment vertical="center"/>
      <protection/>
    </xf>
    <xf numFmtId="9" fontId="9" fillId="0" borderId="0" xfId="0" applyNumberFormat="1" applyFont="1" applyBorder="1" applyAlignment="1" applyProtection="1">
      <alignment vertical="center"/>
      <protection/>
    </xf>
    <xf numFmtId="9" fontId="10" fillId="0" borderId="0" xfId="0" applyNumberFormat="1" applyFont="1" applyBorder="1" applyAlignment="1" applyProtection="1">
      <alignment horizontal="center" vertical="center"/>
      <protection/>
    </xf>
    <xf numFmtId="9" fontId="10" fillId="0" borderId="0" xfId="0" applyNumberFormat="1" applyFont="1" applyAlignment="1" applyProtection="1">
      <alignment horizontal="center" vertical="center"/>
      <protection/>
    </xf>
    <xf numFmtId="9" fontId="38" fillId="0" borderId="0" xfId="0" applyNumberFormat="1" applyFont="1" applyAlignment="1" applyProtection="1">
      <alignment vertical="center"/>
      <protection/>
    </xf>
    <xf numFmtId="9" fontId="10" fillId="0" borderId="0" xfId="0" applyNumberFormat="1" applyFont="1" applyBorder="1" applyAlignment="1" applyProtection="1">
      <alignment vertical="center"/>
      <protection/>
    </xf>
    <xf numFmtId="9" fontId="5" fillId="0" borderId="0" xfId="0" applyNumberFormat="1" applyFont="1" applyAlignment="1" applyProtection="1">
      <alignment vertical="center"/>
      <protection/>
    </xf>
    <xf numFmtId="0" fontId="37" fillId="0" borderId="0" xfId="0" applyFont="1" applyAlignment="1" applyProtection="1">
      <alignment vertical="center"/>
      <protection/>
    </xf>
    <xf numFmtId="0" fontId="12" fillId="0" borderId="0" xfId="0" applyFont="1" applyAlignment="1" applyProtection="1">
      <alignment vertical="center"/>
      <protection/>
    </xf>
    <xf numFmtId="0" fontId="5" fillId="0" borderId="0" xfId="0" applyFont="1" applyAlignment="1" applyProtection="1">
      <alignment horizontal="center" vertical="center"/>
      <protection/>
    </xf>
    <xf numFmtId="0" fontId="0" fillId="0" borderId="0" xfId="0" applyAlignment="1" applyProtection="1">
      <alignment vertical="center"/>
      <protection/>
    </xf>
    <xf numFmtId="0" fontId="29" fillId="0" borderId="0" xfId="0" applyFont="1" applyBorder="1" applyAlignment="1">
      <alignment vertical="center"/>
    </xf>
    <xf numFmtId="9" fontId="11" fillId="0" borderId="0" xfId="0" applyNumberFormat="1" applyFont="1" applyBorder="1" applyAlignment="1" applyProtection="1">
      <alignment horizontal="center" vertical="center"/>
      <protection/>
    </xf>
    <xf numFmtId="9" fontId="5" fillId="0" borderId="26" xfId="0" applyNumberFormat="1" applyFont="1" applyBorder="1" applyAlignment="1" applyProtection="1">
      <alignment horizontal="center" vertical="center"/>
      <protection/>
    </xf>
    <xf numFmtId="9" fontId="5" fillId="0" borderId="26" xfId="0" applyNumberFormat="1" applyFont="1" applyBorder="1" applyAlignment="1" applyProtection="1">
      <alignment vertical="center"/>
      <protection/>
    </xf>
    <xf numFmtId="0" fontId="5" fillId="0" borderId="27" xfId="0" applyFont="1" applyBorder="1" applyAlignment="1" applyProtection="1">
      <alignment vertical="center"/>
      <protection/>
    </xf>
    <xf numFmtId="0" fontId="12" fillId="0" borderId="0" xfId="0" applyFont="1" applyAlignment="1" applyProtection="1">
      <alignment horizontal="center" vertical="center"/>
      <protection/>
    </xf>
    <xf numFmtId="0" fontId="12" fillId="0" borderId="0" xfId="0" applyFont="1" applyAlignment="1" applyProtection="1">
      <alignment horizontal="justify" vertical="center"/>
      <protection/>
    </xf>
    <xf numFmtId="1" fontId="4" fillId="0" borderId="0" xfId="0" applyNumberFormat="1" applyFont="1" applyAlignment="1" applyProtection="1">
      <alignment horizontal="right"/>
      <protection locked="0"/>
    </xf>
    <xf numFmtId="0" fontId="4" fillId="0" borderId="0" xfId="0" applyFont="1" applyAlignment="1" applyProtection="1">
      <alignment/>
      <protection locked="0"/>
    </xf>
    <xf numFmtId="0" fontId="32" fillId="0" borderId="0" xfId="0" applyFont="1" applyAlignment="1">
      <alignment/>
    </xf>
    <xf numFmtId="0" fontId="0" fillId="0" borderId="0" xfId="0" applyAlignment="1">
      <alignment horizontal="center"/>
    </xf>
    <xf numFmtId="0" fontId="26" fillId="0" borderId="26" xfId="0" applyFont="1" applyBorder="1" applyAlignment="1">
      <alignment horizontal="center" vertical="center"/>
    </xf>
    <xf numFmtId="49" fontId="26" fillId="0" borderId="26" xfId="0" applyNumberFormat="1" applyFont="1" applyBorder="1" applyAlignment="1">
      <alignment horizontal="left" vertical="center"/>
    </xf>
    <xf numFmtId="0" fontId="1" fillId="0" borderId="0" xfId="0" applyFont="1" applyAlignment="1">
      <alignment/>
    </xf>
    <xf numFmtId="0" fontId="1" fillId="0" borderId="26" xfId="0" applyFont="1" applyBorder="1" applyAlignment="1">
      <alignment/>
    </xf>
    <xf numFmtId="0" fontId="1" fillId="0" borderId="26" xfId="0" applyFont="1" applyBorder="1" applyAlignment="1">
      <alignment horizontal="center"/>
    </xf>
    <xf numFmtId="0" fontId="1" fillId="0" borderId="26" xfId="0" applyFont="1" applyBorder="1" applyAlignment="1">
      <alignment horizontal="center"/>
    </xf>
    <xf numFmtId="1" fontId="1" fillId="0" borderId="26" xfId="0" applyNumberFormat="1" applyFont="1" applyBorder="1" applyAlignment="1">
      <alignment horizontal="center"/>
    </xf>
    <xf numFmtId="1" fontId="10" fillId="0" borderId="0" xfId="0" applyNumberFormat="1" applyFont="1" applyBorder="1" applyAlignment="1">
      <alignment horizontal="center" vertical="center"/>
    </xf>
    <xf numFmtId="1" fontId="0" fillId="0" borderId="0" xfId="0" applyNumberFormat="1" applyBorder="1" applyAlignment="1">
      <alignment vertical="center"/>
    </xf>
    <xf numFmtId="0" fontId="43" fillId="0" borderId="0" xfId="0" applyFont="1" applyBorder="1" applyAlignment="1">
      <alignment horizontal="center" vertical="center"/>
    </xf>
    <xf numFmtId="0" fontId="31" fillId="0" borderId="0" xfId="0" applyFont="1" applyBorder="1" applyAlignment="1">
      <alignment vertical="center"/>
    </xf>
    <xf numFmtId="0" fontId="31" fillId="0" borderId="23" xfId="0" applyFont="1" applyBorder="1" applyAlignment="1">
      <alignment vertical="center"/>
    </xf>
    <xf numFmtId="0" fontId="31" fillId="0" borderId="24" xfId="0" applyFont="1" applyBorder="1" applyAlignment="1">
      <alignment vertical="center"/>
    </xf>
    <xf numFmtId="0" fontId="7" fillId="0" borderId="25" xfId="0" applyFont="1" applyBorder="1" applyAlignment="1">
      <alignment/>
    </xf>
    <xf numFmtId="0" fontId="7" fillId="0" borderId="26" xfId="0" applyFont="1" applyBorder="1" applyAlignment="1">
      <alignment/>
    </xf>
    <xf numFmtId="0" fontId="37" fillId="0" borderId="0" xfId="0" applyFont="1" applyBorder="1" applyAlignment="1">
      <alignment horizontal="center" vertical="center"/>
    </xf>
    <xf numFmtId="0" fontId="7" fillId="0" borderId="24" xfId="0" applyFont="1" applyBorder="1" applyAlignment="1">
      <alignment horizontal="center"/>
    </xf>
    <xf numFmtId="0" fontId="45" fillId="0" borderId="0" xfId="0" applyFont="1" applyAlignment="1">
      <alignment/>
    </xf>
    <xf numFmtId="0" fontId="0" fillId="0" borderId="20" xfId="0" applyBorder="1" applyAlignment="1">
      <alignment/>
    </xf>
    <xf numFmtId="0" fontId="0" fillId="0" borderId="21" xfId="0" applyBorder="1" applyAlignment="1">
      <alignment/>
    </xf>
    <xf numFmtId="0" fontId="10" fillId="0" borderId="21" xfId="0" applyFont="1" applyBorder="1" applyAlignment="1">
      <alignment horizontal="center" vertical="center"/>
    </xf>
    <xf numFmtId="0" fontId="11" fillId="0" borderId="0" xfId="0" applyFont="1" applyBorder="1" applyAlignment="1">
      <alignment vertical="center"/>
    </xf>
    <xf numFmtId="0" fontId="11" fillId="0" borderId="24" xfId="0" applyFont="1" applyBorder="1" applyAlignment="1">
      <alignment horizontal="center"/>
    </xf>
    <xf numFmtId="0" fontId="7" fillId="0" borderId="24" xfId="0" applyFont="1" applyBorder="1" applyAlignment="1">
      <alignment/>
    </xf>
    <xf numFmtId="0" fontId="7" fillId="0" borderId="27" xfId="0" applyFont="1" applyBorder="1" applyAlignment="1">
      <alignment/>
    </xf>
    <xf numFmtId="0" fontId="31" fillId="0" borderId="0" xfId="0" applyFont="1" applyAlignment="1" applyProtection="1">
      <alignment/>
      <protection locked="0"/>
    </xf>
    <xf numFmtId="0" fontId="46" fillId="0" borderId="0" xfId="0" applyFont="1" applyBorder="1" applyAlignment="1">
      <alignment vertical="center"/>
    </xf>
    <xf numFmtId="0" fontId="43" fillId="0" borderId="21" xfId="0" applyNumberFormat="1" applyFont="1" applyBorder="1" applyAlignment="1">
      <alignment horizontal="center" vertical="center"/>
    </xf>
    <xf numFmtId="49" fontId="43" fillId="0" borderId="21" xfId="0" applyNumberFormat="1" applyFont="1" applyBorder="1" applyAlignment="1">
      <alignment horizontal="center" vertical="center"/>
    </xf>
    <xf numFmtId="0" fontId="43" fillId="0" borderId="0" xfId="0" applyFont="1" applyAlignment="1">
      <alignment vertical="center"/>
    </xf>
    <xf numFmtId="49" fontId="43" fillId="0" borderId="21" xfId="0" applyNumberFormat="1" applyFont="1" applyBorder="1" applyAlignment="1">
      <alignment vertical="center"/>
    </xf>
    <xf numFmtId="0" fontId="9" fillId="0" borderId="0" xfId="0" applyFont="1" applyBorder="1" applyAlignment="1" applyProtection="1">
      <alignment vertical="center"/>
      <protection/>
    </xf>
    <xf numFmtId="9" fontId="48" fillId="0" borderId="0" xfId="0" applyNumberFormat="1" applyFont="1" applyBorder="1" applyAlignment="1" applyProtection="1">
      <alignment horizontal="center" vertical="center"/>
      <protection/>
    </xf>
    <xf numFmtId="0" fontId="49" fillId="0" borderId="0" xfId="0" applyFont="1" applyBorder="1" applyAlignment="1" applyProtection="1">
      <alignment horizontal="center" vertical="center"/>
      <protection/>
    </xf>
    <xf numFmtId="9" fontId="48" fillId="0" borderId="0" xfId="0" applyNumberFormat="1" applyFont="1" applyBorder="1" applyAlignment="1" applyProtection="1">
      <alignment vertical="center"/>
      <protection/>
    </xf>
    <xf numFmtId="9" fontId="49" fillId="0" borderId="0" xfId="0" applyNumberFormat="1" applyFont="1" applyBorder="1" applyAlignment="1" applyProtection="1">
      <alignment horizontal="center" vertical="center"/>
      <protection/>
    </xf>
    <xf numFmtId="0" fontId="48" fillId="0" borderId="0" xfId="0" applyFont="1" applyBorder="1" applyAlignment="1" applyProtection="1">
      <alignment vertical="center"/>
      <protection/>
    </xf>
    <xf numFmtId="0" fontId="47" fillId="0" borderId="0" xfId="0" applyFont="1" applyBorder="1" applyAlignment="1" applyProtection="1">
      <alignment vertical="center"/>
      <protection/>
    </xf>
    <xf numFmtId="0" fontId="9" fillId="0" borderId="26" xfId="0" applyFont="1" applyBorder="1" applyAlignment="1" applyProtection="1">
      <alignment vertical="center"/>
      <protection/>
    </xf>
    <xf numFmtId="0" fontId="24" fillId="0" borderId="0" xfId="0" applyFont="1" applyBorder="1" applyAlignment="1">
      <alignment horizontal="center" vertical="center" wrapText="1"/>
    </xf>
    <xf numFmtId="0" fontId="0" fillId="0" borderId="26" xfId="0" applyBorder="1" applyAlignment="1">
      <alignment/>
    </xf>
    <xf numFmtId="0" fontId="7" fillId="0" borderId="0" xfId="0" applyFont="1" applyAlignment="1">
      <alignment horizontal="center"/>
    </xf>
    <xf numFmtId="0" fontId="7" fillId="0" borderId="0" xfId="0" applyFont="1" applyAlignment="1">
      <alignment horizontal="left" vertical="center"/>
    </xf>
    <xf numFmtId="0" fontId="27" fillId="0" borderId="0" xfId="0" applyFont="1" applyBorder="1" applyAlignment="1">
      <alignment horizontal="center" vertical="center"/>
    </xf>
    <xf numFmtId="0" fontId="30" fillId="0" borderId="0" xfId="0" applyFont="1" applyBorder="1" applyAlignment="1">
      <alignment horizontal="center" vertical="center"/>
    </xf>
    <xf numFmtId="176" fontId="5" fillId="0" borderId="0" xfId="0" applyNumberFormat="1" applyFont="1" applyBorder="1" applyAlignment="1">
      <alignment horizontal="center" vertical="center"/>
    </xf>
    <xf numFmtId="175" fontId="5" fillId="0" borderId="0" xfId="0" applyNumberFormat="1" applyFont="1" applyBorder="1" applyAlignment="1">
      <alignment horizontal="center" vertical="center"/>
    </xf>
    <xf numFmtId="0" fontId="9" fillId="0" borderId="0" xfId="0" applyFont="1" applyBorder="1" applyAlignment="1" applyProtection="1">
      <alignment horizontal="center" vertical="center"/>
      <protection locked="0"/>
    </xf>
    <xf numFmtId="0" fontId="24" fillId="0" borderId="0" xfId="0" applyFont="1" applyBorder="1" applyAlignment="1">
      <alignment horizontal="center" vertical="center"/>
    </xf>
    <xf numFmtId="0" fontId="7" fillId="0" borderId="0" xfId="0" applyFont="1" applyAlignment="1">
      <alignment/>
    </xf>
    <xf numFmtId="0" fontId="0" fillId="0" borderId="0" xfId="0" applyBorder="1" applyAlignment="1">
      <alignment horizontal="center"/>
    </xf>
    <xf numFmtId="0" fontId="5" fillId="0" borderId="25" xfId="0" applyFont="1" applyBorder="1" applyAlignment="1">
      <alignment horizontal="center" vertical="center"/>
    </xf>
    <xf numFmtId="0" fontId="7" fillId="0" borderId="26" xfId="0" applyFont="1" applyBorder="1" applyAlignment="1">
      <alignment vertical="center"/>
    </xf>
    <xf numFmtId="0" fontId="0" fillId="0" borderId="27" xfId="0" applyBorder="1" applyAlignment="1">
      <alignment vertical="center"/>
    </xf>
    <xf numFmtId="0" fontId="36" fillId="0" borderId="0" xfId="0" applyFont="1" applyBorder="1" applyAlignment="1">
      <alignment horizontal="center"/>
    </xf>
    <xf numFmtId="0" fontId="5" fillId="0" borderId="21" xfId="0" applyFont="1" applyBorder="1" applyAlignment="1">
      <alignment horizontal="center" shrinkToFit="1"/>
    </xf>
    <xf numFmtId="0" fontId="0" fillId="0" borderId="21" xfId="0" applyBorder="1" applyAlignment="1">
      <alignment horizontal="center" shrinkToFit="1"/>
    </xf>
    <xf numFmtId="0" fontId="9" fillId="0" borderId="0" xfId="0" applyFont="1" applyBorder="1" applyAlignment="1">
      <alignment horizontal="center" vertical="center"/>
    </xf>
    <xf numFmtId="0" fontId="6" fillId="0" borderId="0" xfId="0" applyFont="1" applyBorder="1" applyAlignment="1" applyProtection="1">
      <alignment vertical="center"/>
      <protection locked="0"/>
    </xf>
    <xf numFmtId="0" fontId="11" fillId="0" borderId="0" xfId="0" applyFont="1" applyBorder="1" applyAlignment="1">
      <alignment horizontal="center" vertical="center" wrapText="1"/>
    </xf>
    <xf numFmtId="0" fontId="24" fillId="0" borderId="0" xfId="0" applyFont="1" applyBorder="1" applyAlignment="1">
      <alignment vertical="center"/>
    </xf>
    <xf numFmtId="0" fontId="35" fillId="0" borderId="0" xfId="0" applyFont="1" applyBorder="1" applyAlignment="1">
      <alignment horizontal="center"/>
    </xf>
    <xf numFmtId="0" fontId="25" fillId="0" borderId="0" xfId="0" applyFont="1" applyBorder="1" applyAlignment="1">
      <alignment/>
    </xf>
    <xf numFmtId="0" fontId="31" fillId="0" borderId="0" xfId="0" applyFont="1" applyBorder="1" applyAlignment="1" applyProtection="1">
      <alignment vertical="center"/>
      <protection locked="0"/>
    </xf>
    <xf numFmtId="0" fontId="5" fillId="0" borderId="0" xfId="0" applyNumberFormat="1" applyFont="1" applyBorder="1" applyAlignment="1">
      <alignment horizontal="center" vertical="center"/>
    </xf>
    <xf numFmtId="0" fontId="30" fillId="0" borderId="0" xfId="0" applyFont="1" applyAlignment="1">
      <alignment horizontal="left"/>
    </xf>
    <xf numFmtId="0" fontId="30" fillId="0" borderId="0" xfId="0" applyFont="1" applyBorder="1" applyAlignment="1">
      <alignment horizontal="center"/>
    </xf>
    <xf numFmtId="0" fontId="29" fillId="0" borderId="0" xfId="0" applyFont="1" applyAlignment="1">
      <alignment horizontal="left"/>
    </xf>
    <xf numFmtId="0" fontId="29" fillId="0" borderId="0" xfId="0" applyFont="1" applyAlignment="1">
      <alignment horizontal="center"/>
    </xf>
    <xf numFmtId="0" fontId="7" fillId="0" borderId="26" xfId="0" applyFont="1" applyBorder="1" applyAlignment="1">
      <alignment/>
    </xf>
    <xf numFmtId="175" fontId="5" fillId="0" borderId="0" xfId="0" applyNumberFormat="1" applyFont="1" applyBorder="1" applyAlignment="1">
      <alignment horizontal="center"/>
    </xf>
    <xf numFmtId="175" fontId="5" fillId="0" borderId="26" xfId="0" applyNumberFormat="1" applyFont="1" applyBorder="1" applyAlignment="1">
      <alignment horizontal="center"/>
    </xf>
    <xf numFmtId="0" fontId="30" fillId="0" borderId="0" xfId="0" applyFont="1" applyAlignment="1">
      <alignment horizontal="center"/>
    </xf>
    <xf numFmtId="0" fontId="7" fillId="0" borderId="21"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5" fillId="0" borderId="21" xfId="0" applyFont="1" applyBorder="1" applyAlignment="1">
      <alignment vertical="center"/>
    </xf>
    <xf numFmtId="0" fontId="23" fillId="0" borderId="0" xfId="0" applyFont="1" applyBorder="1" applyAlignment="1">
      <alignment horizontal="center"/>
    </xf>
    <xf numFmtId="0" fontId="1" fillId="0" borderId="0" xfId="0" applyFont="1" applyBorder="1" applyAlignment="1">
      <alignment/>
    </xf>
    <xf numFmtId="0" fontId="23" fillId="0" borderId="26" xfId="0" applyFont="1" applyBorder="1" applyAlignment="1">
      <alignment horizontal="center" vertical="center"/>
    </xf>
    <xf numFmtId="0" fontId="0" fillId="0" borderId="26" xfId="0" applyBorder="1" applyAlignment="1">
      <alignment vertical="center"/>
    </xf>
    <xf numFmtId="0" fontId="23" fillId="0" borderId="28" xfId="0" applyFont="1" applyBorder="1" applyAlignment="1">
      <alignment horizontal="center" vertical="center" wrapText="1" shrinkToFit="1"/>
    </xf>
    <xf numFmtId="0" fontId="10" fillId="0" borderId="0" xfId="0" applyFont="1" applyBorder="1" applyAlignment="1">
      <alignment horizontal="center"/>
    </xf>
    <xf numFmtId="0" fontId="5" fillId="0" borderId="20" xfId="0" applyFont="1" applyBorder="1" applyAlignment="1">
      <alignment horizontal="center" vertical="center"/>
    </xf>
    <xf numFmtId="0" fontId="0" fillId="0" borderId="0" xfId="0" applyAlignment="1">
      <alignment horizontal="center"/>
    </xf>
    <xf numFmtId="0" fontId="23" fillId="0" borderId="28" xfId="0" applyFont="1" applyBorder="1" applyAlignment="1">
      <alignment horizontal="center" vertical="center"/>
    </xf>
    <xf numFmtId="0" fontId="0" fillId="0" borderId="1" xfId="0" applyBorder="1" applyAlignment="1">
      <alignment horizontal="center" vertical="center"/>
    </xf>
    <xf numFmtId="0" fontId="0" fillId="0" borderId="29" xfId="0" applyBorder="1" applyAlignment="1">
      <alignment horizontal="center" vertical="center"/>
    </xf>
    <xf numFmtId="0" fontId="24" fillId="0" borderId="0" xfId="0" applyFont="1" applyAlignment="1">
      <alignment horizontal="center"/>
    </xf>
    <xf numFmtId="0" fontId="13" fillId="0" borderId="1" xfId="0" applyFont="1" applyBorder="1" applyAlignment="1">
      <alignment horizontal="center" vertical="center"/>
    </xf>
    <xf numFmtId="9" fontId="23" fillId="0" borderId="28" xfId="0" applyNumberFormat="1" applyFont="1" applyBorder="1" applyAlignment="1">
      <alignment horizontal="center" vertical="center"/>
    </xf>
    <xf numFmtId="49" fontId="23" fillId="0" borderId="28" xfId="0" applyNumberFormat="1" applyFont="1" applyBorder="1" applyAlignment="1">
      <alignment horizontal="center" vertical="center"/>
    </xf>
    <xf numFmtId="0" fontId="23" fillId="0" borderId="28" xfId="0" applyFont="1" applyBorder="1" applyAlignment="1">
      <alignment horizontal="center" vertical="center" wrapText="1"/>
    </xf>
    <xf numFmtId="0" fontId="7" fillId="0" borderId="28" xfId="0" applyFont="1" applyBorder="1" applyAlignment="1" applyProtection="1">
      <alignment horizontal="center" vertical="center"/>
      <protection locked="0"/>
    </xf>
    <xf numFmtId="0" fontId="5" fillId="0" borderId="28" xfId="0" applyFont="1" applyBorder="1" applyAlignment="1">
      <alignment horizontal="center" vertical="center" wrapText="1"/>
    </xf>
    <xf numFmtId="176" fontId="5" fillId="0" borderId="28" xfId="0" applyNumberFormat="1" applyFont="1" applyBorder="1" applyAlignment="1">
      <alignment horizontal="center" vertical="center"/>
    </xf>
    <xf numFmtId="0" fontId="5" fillId="0" borderId="28" xfId="0" applyFont="1" applyBorder="1" applyAlignment="1" applyProtection="1">
      <alignment vertical="center"/>
      <protection locked="0"/>
    </xf>
    <xf numFmtId="175" fontId="5" fillId="0" borderId="28" xfId="0" applyNumberFormat="1" applyFont="1" applyBorder="1" applyAlignment="1">
      <alignment horizontal="center" vertical="center"/>
    </xf>
    <xf numFmtId="0" fontId="30" fillId="0" borderId="26" xfId="0" applyFont="1" applyBorder="1" applyAlignment="1">
      <alignment horizontal="center"/>
    </xf>
    <xf numFmtId="0" fontId="0" fillId="0" borderId="26" xfId="0" applyBorder="1" applyAlignment="1">
      <alignment horizontal="center"/>
    </xf>
    <xf numFmtId="0" fontId="7" fillId="0" borderId="1" xfId="0" applyFont="1" applyBorder="1" applyAlignment="1" applyProtection="1">
      <alignment horizontal="center" vertical="center"/>
      <protection locked="0"/>
    </xf>
    <xf numFmtId="0" fontId="0" fillId="0" borderId="26" xfId="0" applyBorder="1" applyAlignment="1">
      <alignment/>
    </xf>
    <xf numFmtId="0" fontId="24" fillId="0" borderId="0" xfId="0" applyFont="1" applyAlignment="1">
      <alignment horizontal="center" wrapText="1"/>
    </xf>
    <xf numFmtId="0" fontId="24" fillId="0" borderId="28" xfId="0" applyFont="1" applyBorder="1" applyAlignment="1">
      <alignment horizontal="center" vertical="center"/>
    </xf>
    <xf numFmtId="0" fontId="0" fillId="0" borderId="1" xfId="0" applyBorder="1" applyAlignment="1">
      <alignment vertical="center"/>
    </xf>
    <xf numFmtId="0" fontId="0" fillId="0" borderId="29" xfId="0" applyBorder="1" applyAlignment="1">
      <alignment vertical="center"/>
    </xf>
    <xf numFmtId="0" fontId="5" fillId="0" borderId="28" xfId="0" applyFont="1" applyBorder="1" applyAlignment="1">
      <alignment horizontal="center" vertical="center"/>
    </xf>
    <xf numFmtId="0" fontId="24" fillId="0" borderId="0" xfId="0" applyFont="1" applyBorder="1" applyAlignment="1">
      <alignment horizontal="center"/>
    </xf>
    <xf numFmtId="0" fontId="0" fillId="0" borderId="0" xfId="0" applyBorder="1" applyAlignment="1">
      <alignment/>
    </xf>
    <xf numFmtId="0" fontId="5" fillId="0" borderId="28" xfId="0" applyNumberFormat="1"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4" fillId="0" borderId="0" xfId="0" applyFont="1" applyBorder="1" applyAlignment="1">
      <alignment horizontal="center" wrapText="1"/>
    </xf>
    <xf numFmtId="0" fontId="0" fillId="0" borderId="1" xfId="0" applyBorder="1" applyAlignment="1">
      <alignment/>
    </xf>
    <xf numFmtId="0" fontId="0" fillId="0" borderId="29" xfId="0" applyBorder="1" applyAlignment="1">
      <alignment/>
    </xf>
    <xf numFmtId="0" fontId="5" fillId="0" borderId="28" xfId="0" applyFont="1" applyBorder="1" applyAlignment="1" applyProtection="1">
      <alignment horizontal="center" vertical="center"/>
      <protection locked="0"/>
    </xf>
    <xf numFmtId="0" fontId="42" fillId="0" borderId="26" xfId="0" applyFont="1" applyBorder="1" applyAlignment="1">
      <alignment horizontal="center"/>
    </xf>
    <xf numFmtId="0" fontId="12" fillId="0" borderId="0" xfId="0" applyFont="1" applyBorder="1" applyAlignment="1">
      <alignment horizontal="justify" vertical="center" wrapText="1"/>
    </xf>
    <xf numFmtId="0" fontId="10" fillId="0" borderId="0" xfId="0" applyFont="1" applyBorder="1" applyAlignment="1">
      <alignment horizontal="center" vertical="center" wrapText="1"/>
    </xf>
    <xf numFmtId="0" fontId="0" fillId="0" borderId="0" xfId="0" applyBorder="1" applyAlignment="1">
      <alignment vertical="center" wrapText="1"/>
    </xf>
    <xf numFmtId="9" fontId="10" fillId="0" borderId="26" xfId="0" applyNumberFormat="1" applyFont="1" applyBorder="1" applyAlignment="1">
      <alignment horizontal="center" vertical="center"/>
    </xf>
    <xf numFmtId="0" fontId="29" fillId="0" borderId="20" xfId="0" applyFont="1" applyBorder="1" applyAlignment="1">
      <alignment horizontal="center" vertical="center"/>
    </xf>
    <xf numFmtId="0" fontId="29" fillId="0" borderId="21" xfId="0" applyFont="1" applyBorder="1" applyAlignment="1">
      <alignment horizontal="center" vertical="center"/>
    </xf>
    <xf numFmtId="0" fontId="42" fillId="0" borderId="22" xfId="0" applyFont="1" applyBorder="1" applyAlignment="1">
      <alignment vertical="center"/>
    </xf>
    <xf numFmtId="0" fontId="37" fillId="0" borderId="23" xfId="0" applyFont="1" applyBorder="1" applyAlignment="1">
      <alignment horizontal="center" vertical="center"/>
    </xf>
    <xf numFmtId="0" fontId="37" fillId="0" borderId="0" xfId="0" applyFont="1" applyBorder="1" applyAlignment="1">
      <alignment horizontal="center" vertical="center"/>
    </xf>
    <xf numFmtId="0" fontId="1" fillId="0" borderId="24" xfId="0" applyFont="1" applyBorder="1" applyAlignment="1">
      <alignment vertical="center"/>
    </xf>
    <xf numFmtId="0" fontId="0" fillId="0" borderId="26" xfId="0" applyBorder="1" applyAlignment="1">
      <alignment vertical="center" wrapText="1"/>
    </xf>
    <xf numFmtId="0" fontId="0" fillId="0" borderId="0" xfId="0" applyAlignment="1">
      <alignment horizontal="justify" vertical="center" wrapText="1"/>
    </xf>
    <xf numFmtId="0" fontId="0" fillId="0" borderId="0" xfId="0" applyAlignment="1">
      <alignment vertical="center" wrapText="1"/>
    </xf>
    <xf numFmtId="0" fontId="11" fillId="0" borderId="0" xfId="0" applyFont="1" applyBorder="1" applyAlignment="1">
      <alignment horizontal="center" vertical="center"/>
    </xf>
    <xf numFmtId="0" fontId="12" fillId="0" borderId="0" xfId="0" applyFont="1" applyAlignment="1">
      <alignment vertical="center" wrapText="1"/>
    </xf>
    <xf numFmtId="0" fontId="13" fillId="0" borderId="26" xfId="0" applyFont="1" applyBorder="1" applyAlignment="1">
      <alignment horizontal="center" vertical="center"/>
    </xf>
    <xf numFmtId="9" fontId="5" fillId="0" borderId="21" xfId="0" applyNumberFormat="1" applyFont="1" applyBorder="1" applyAlignment="1" applyProtection="1">
      <alignment horizontal="center" vertical="center"/>
      <protection/>
    </xf>
    <xf numFmtId="9" fontId="5" fillId="0" borderId="0" xfId="0" applyNumberFormat="1" applyFont="1" applyAlignment="1" applyProtection="1">
      <alignment vertical="center"/>
      <protection/>
    </xf>
    <xf numFmtId="9" fontId="5" fillId="0" borderId="0" xfId="0" applyNumberFormat="1" applyFont="1" applyBorder="1" applyAlignment="1" applyProtection="1">
      <alignment vertical="center"/>
      <protection/>
    </xf>
    <xf numFmtId="9" fontId="9" fillId="0" borderId="21" xfId="0" applyNumberFormat="1" applyFont="1" applyBorder="1" applyAlignment="1" applyProtection="1">
      <alignment horizontal="center" vertical="center"/>
      <protection/>
    </xf>
    <xf numFmtId="0" fontId="9" fillId="0" borderId="0" xfId="0" applyFont="1" applyAlignment="1" applyProtection="1">
      <alignment vertical="center"/>
      <protection/>
    </xf>
    <xf numFmtId="0" fontId="10" fillId="0" borderId="20" xfId="0" applyFont="1" applyBorder="1" applyAlignment="1">
      <alignment horizontal="center" vertical="center"/>
    </xf>
    <xf numFmtId="0" fontId="0" fillId="0" borderId="21" xfId="0" applyBorder="1" applyAlignment="1">
      <alignment horizontal="center" vertical="center"/>
    </xf>
    <xf numFmtId="9" fontId="9" fillId="0" borderId="0" xfId="0" applyNumberFormat="1" applyFont="1" applyAlignment="1" applyProtection="1">
      <alignment vertical="center"/>
      <protection/>
    </xf>
    <xf numFmtId="0" fontId="13" fillId="0" borderId="0" xfId="0" applyFont="1" applyBorder="1" applyAlignment="1">
      <alignment horizontal="center" vertical="center" wrapText="1"/>
    </xf>
    <xf numFmtId="0" fontId="13" fillId="0" borderId="26" xfId="0" applyFont="1" applyBorder="1" applyAlignment="1">
      <alignment horizontal="center" vertical="center" wrapText="1"/>
    </xf>
    <xf numFmtId="9" fontId="5" fillId="0" borderId="0" xfId="0" applyNumberFormat="1" applyFont="1" applyAlignment="1" applyProtection="1">
      <alignment horizontal="center" vertical="center"/>
      <protection/>
    </xf>
    <xf numFmtId="0" fontId="10" fillId="0" borderId="20" xfId="0" applyFont="1" applyBorder="1" applyAlignment="1" applyProtection="1">
      <alignment horizontal="center" vertical="center" wrapText="1"/>
      <protection/>
    </xf>
    <xf numFmtId="0" fontId="13" fillId="0" borderId="21" xfId="0" applyFont="1" applyBorder="1" applyAlignment="1" applyProtection="1">
      <alignment horizontal="center" vertical="center" wrapText="1"/>
      <protection/>
    </xf>
    <xf numFmtId="0" fontId="13" fillId="0" borderId="22" xfId="0" applyFont="1" applyBorder="1" applyAlignment="1" applyProtection="1">
      <alignment horizontal="center" vertical="center" wrapText="1"/>
      <protection/>
    </xf>
    <xf numFmtId="0" fontId="13" fillId="0" borderId="25" xfId="0" applyFont="1" applyBorder="1" applyAlignment="1" applyProtection="1">
      <alignment horizontal="center" vertical="center" wrapText="1"/>
      <protection/>
    </xf>
    <xf numFmtId="0" fontId="13" fillId="0" borderId="26" xfId="0" applyFont="1" applyBorder="1" applyAlignment="1" applyProtection="1">
      <alignment horizontal="center" vertical="center" wrapText="1"/>
      <protection/>
    </xf>
    <xf numFmtId="0" fontId="13" fillId="0" borderId="27" xfId="0" applyFont="1" applyBorder="1" applyAlignment="1" applyProtection="1">
      <alignment horizontal="center" vertical="center" wrapText="1"/>
      <protection/>
    </xf>
    <xf numFmtId="9" fontId="37" fillId="0" borderId="20" xfId="0" applyNumberFormat="1" applyFont="1" applyBorder="1" applyAlignment="1" applyProtection="1">
      <alignment horizontal="center" vertical="center"/>
      <protection locked="0"/>
    </xf>
    <xf numFmtId="0" fontId="0" fillId="0" borderId="21" xfId="0" applyFont="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9" fontId="38" fillId="0" borderId="26" xfId="0" applyNumberFormat="1" applyFont="1" applyBorder="1" applyAlignment="1" applyProtection="1">
      <alignment horizontal="center" vertical="center"/>
      <protection/>
    </xf>
    <xf numFmtId="0" fontId="39" fillId="0" borderId="26" xfId="0" applyFont="1" applyBorder="1" applyAlignment="1" applyProtection="1">
      <alignment horizontal="center" vertical="center"/>
      <protection/>
    </xf>
    <xf numFmtId="9" fontId="39" fillId="0" borderId="26" xfId="0" applyNumberFormat="1" applyFont="1" applyBorder="1" applyAlignment="1" applyProtection="1">
      <alignment horizontal="center" vertical="center"/>
      <protection/>
    </xf>
    <xf numFmtId="9" fontId="38" fillId="0" borderId="26" xfId="0" applyNumberFormat="1" applyFont="1" applyBorder="1" applyAlignment="1" applyProtection="1">
      <alignment vertical="center"/>
      <protection/>
    </xf>
    <xf numFmtId="9" fontId="4" fillId="0" borderId="26" xfId="0" applyNumberFormat="1" applyFont="1" applyBorder="1" applyAlignment="1" applyProtection="1">
      <alignment vertical="center"/>
      <protection/>
    </xf>
    <xf numFmtId="9" fontId="10" fillId="0" borderId="28" xfId="0" applyNumberFormat="1" applyFont="1" applyBorder="1" applyAlignment="1" applyProtection="1">
      <alignment horizontal="center" vertical="center"/>
      <protection/>
    </xf>
    <xf numFmtId="9" fontId="1" fillId="0" borderId="1" xfId="0" applyNumberFormat="1" applyFont="1" applyBorder="1" applyAlignment="1" applyProtection="1">
      <alignment horizontal="center" vertical="center"/>
      <protection/>
    </xf>
    <xf numFmtId="9" fontId="1" fillId="0" borderId="29" xfId="0" applyNumberFormat="1" applyFont="1" applyBorder="1" applyAlignment="1" applyProtection="1">
      <alignment horizontal="center" vertical="center"/>
      <protection/>
    </xf>
    <xf numFmtId="9" fontId="10" fillId="0" borderId="1" xfId="0" applyNumberFormat="1" applyFont="1" applyBorder="1" applyAlignment="1" applyProtection="1">
      <alignment horizontal="center" vertical="center"/>
      <protection/>
    </xf>
    <xf numFmtId="9" fontId="10" fillId="0" borderId="29" xfId="0" applyNumberFormat="1" applyFont="1" applyBorder="1" applyAlignment="1" applyProtection="1">
      <alignment horizontal="center" vertical="center"/>
      <protection/>
    </xf>
    <xf numFmtId="0" fontId="11"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0" xfId="0" applyBorder="1" applyAlignment="1" applyProtection="1">
      <alignment vertical="center" wrapText="1"/>
      <protection/>
    </xf>
    <xf numFmtId="0" fontId="0" fillId="0" borderId="26" xfId="0" applyBorder="1" applyAlignment="1" applyProtection="1">
      <alignment vertical="center" wrapText="1"/>
      <protection/>
    </xf>
    <xf numFmtId="0" fontId="12" fillId="0" borderId="26" xfId="0" applyFont="1" applyBorder="1" applyAlignment="1" applyProtection="1">
      <alignment horizontal="center" vertical="center"/>
      <protection/>
    </xf>
    <xf numFmtId="0" fontId="0" fillId="0" borderId="26" xfId="0" applyBorder="1" applyAlignment="1" applyProtection="1">
      <alignment horizontal="center" vertical="center"/>
      <protection/>
    </xf>
    <xf numFmtId="0" fontId="10" fillId="0" borderId="28" xfId="0" applyFont="1" applyBorder="1" applyAlignment="1" applyProtection="1">
      <alignment horizontal="center" vertical="center"/>
      <protection/>
    </xf>
    <xf numFmtId="0" fontId="10" fillId="0" borderId="1" xfId="0" applyFont="1" applyBorder="1" applyAlignment="1" applyProtection="1">
      <alignment horizontal="center" vertical="center"/>
      <protection/>
    </xf>
    <xf numFmtId="0" fontId="1" fillId="0" borderId="1" xfId="0" applyFont="1" applyBorder="1" applyAlignment="1" applyProtection="1">
      <alignment vertical="center"/>
      <protection/>
    </xf>
    <xf numFmtId="0" fontId="0" fillId="0" borderId="1" xfId="0" applyBorder="1" applyAlignment="1" applyProtection="1">
      <alignment vertical="center"/>
      <protection/>
    </xf>
    <xf numFmtId="0" fontId="0" fillId="0" borderId="29" xfId="0" applyBorder="1" applyAlignment="1" applyProtection="1">
      <alignment vertical="center"/>
      <protection/>
    </xf>
    <xf numFmtId="0" fontId="1" fillId="0" borderId="29" xfId="0" applyFont="1" applyBorder="1" applyAlignment="1" applyProtection="1">
      <alignment vertical="center"/>
      <protection/>
    </xf>
    <xf numFmtId="0" fontId="10" fillId="0" borderId="0" xfId="0" applyFont="1" applyBorder="1" applyAlignment="1" applyProtection="1">
      <alignment horizontal="center" vertical="center" wrapText="1"/>
      <protection/>
    </xf>
    <xf numFmtId="0" fontId="13" fillId="0" borderId="0" xfId="0" applyFont="1" applyBorder="1" applyAlignment="1" applyProtection="1">
      <alignment horizontal="center" vertical="center" wrapText="1"/>
      <protection/>
    </xf>
    <xf numFmtId="0" fontId="12" fillId="0" borderId="0" xfId="0" applyFont="1" applyBorder="1" applyAlignment="1" applyProtection="1">
      <alignment horizontal="justify" vertical="center" wrapText="1"/>
      <protection/>
    </xf>
    <xf numFmtId="0" fontId="5" fillId="0" borderId="0" xfId="0" applyFont="1" applyAlignment="1" applyProtection="1">
      <alignment horizontal="center" vertical="center"/>
      <protection/>
    </xf>
    <xf numFmtId="0" fontId="4" fillId="0" borderId="0" xfId="0" applyFont="1" applyAlignment="1" applyProtection="1">
      <alignment vertical="center"/>
      <protection/>
    </xf>
    <xf numFmtId="0" fontId="4" fillId="0" borderId="21" xfId="0" applyFont="1" applyBorder="1" applyAlignment="1" applyProtection="1">
      <alignment horizontal="center" vertical="center"/>
      <protection/>
    </xf>
    <xf numFmtId="9" fontId="5" fillId="0" borderId="26" xfId="0" applyNumberFormat="1" applyFont="1" applyBorder="1" applyAlignment="1" applyProtection="1">
      <alignment horizontal="center" vertical="center"/>
      <protection/>
    </xf>
    <xf numFmtId="9" fontId="10" fillId="0" borderId="20" xfId="0" applyNumberFormat="1" applyFont="1" applyBorder="1" applyAlignment="1" applyProtection="1">
      <alignment horizontal="center" vertical="center"/>
      <protection/>
    </xf>
    <xf numFmtId="0" fontId="0" fillId="0" borderId="21" xfId="0" applyBorder="1" applyAlignment="1" applyProtection="1">
      <alignment vertical="center"/>
      <protection/>
    </xf>
    <xf numFmtId="0" fontId="0" fillId="0" borderId="22" xfId="0" applyBorder="1" applyAlignment="1" applyProtection="1">
      <alignment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0" fontId="0" fillId="0" borderId="27" xfId="0" applyBorder="1" applyAlignment="1" applyProtection="1">
      <alignment vertical="center"/>
      <protection/>
    </xf>
    <xf numFmtId="0" fontId="5" fillId="0" borderId="0" xfId="0" applyFont="1" applyAlignment="1" applyProtection="1">
      <alignment vertical="center"/>
      <protection/>
    </xf>
    <xf numFmtId="9" fontId="9" fillId="0" borderId="0" xfId="0" applyNumberFormat="1" applyFont="1" applyBorder="1" applyAlignment="1" applyProtection="1">
      <alignment vertical="center"/>
      <protection/>
    </xf>
    <xf numFmtId="0" fontId="4" fillId="0" borderId="0" xfId="0" applyFont="1" applyBorder="1" applyAlignment="1" applyProtection="1">
      <alignment vertical="center"/>
      <protection/>
    </xf>
    <xf numFmtId="0" fontId="10" fillId="0" borderId="26" xfId="0" applyFont="1" applyBorder="1" applyAlignment="1" applyProtection="1">
      <alignment horizontal="center" vertical="center" wrapText="1"/>
      <protection/>
    </xf>
    <xf numFmtId="0" fontId="0" fillId="0" borderId="0" xfId="0" applyAlignment="1">
      <alignment wrapText="1"/>
    </xf>
    <xf numFmtId="0" fontId="10" fillId="0" borderId="28" xfId="0" applyFont="1" applyBorder="1" applyAlignment="1">
      <alignment horizontal="center" vertical="center"/>
    </xf>
    <xf numFmtId="0" fontId="7" fillId="0" borderId="10" xfId="0" applyFont="1" applyBorder="1" applyAlignment="1">
      <alignment horizontal="center"/>
    </xf>
    <xf numFmtId="0" fontId="7" fillId="0" borderId="23" xfId="0" applyFont="1" applyBorder="1" applyAlignment="1">
      <alignment horizontal="center"/>
    </xf>
    <xf numFmtId="0" fontId="7" fillId="0" borderId="0"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7" fillId="0" borderId="24" xfId="0" applyFont="1" applyBorder="1" applyAlignment="1">
      <alignment horizontal="center"/>
    </xf>
    <xf numFmtId="0" fontId="7" fillId="0" borderId="0" xfId="0" applyFont="1" applyAlignment="1">
      <alignment horizontal="center"/>
    </xf>
    <xf numFmtId="0" fontId="12" fillId="0" borderId="26" xfId="0" applyFont="1" applyBorder="1" applyAlignment="1">
      <alignment horizontal="center" vertical="center"/>
    </xf>
    <xf numFmtId="1" fontId="10" fillId="0" borderId="28" xfId="0" applyNumberFormat="1" applyFont="1" applyBorder="1" applyAlignment="1">
      <alignment horizontal="center" vertical="center"/>
    </xf>
    <xf numFmtId="1" fontId="0" fillId="0" borderId="1" xfId="0" applyNumberFormat="1" applyBorder="1" applyAlignment="1">
      <alignment vertical="center"/>
    </xf>
    <xf numFmtId="1" fontId="0" fillId="0" borderId="29" xfId="0" applyNumberFormat="1" applyBorder="1" applyAlignment="1">
      <alignment vertical="center"/>
    </xf>
    <xf numFmtId="9" fontId="10" fillId="0" borderId="28" xfId="0" applyNumberFormat="1" applyFont="1" applyBorder="1" applyAlignment="1">
      <alignment horizontal="center" vertical="center"/>
    </xf>
    <xf numFmtId="0" fontId="7" fillId="0" borderId="28" xfId="0" applyFont="1" applyBorder="1" applyAlignment="1">
      <alignment horizontal="center"/>
    </xf>
    <xf numFmtId="0" fontId="7" fillId="0" borderId="1" xfId="0" applyFont="1" applyBorder="1" applyAlignment="1">
      <alignment horizontal="center"/>
    </xf>
    <xf numFmtId="0" fontId="7" fillId="0" borderId="29" xfId="0" applyFont="1" applyBorder="1" applyAlignment="1">
      <alignment horizont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0" fillId="0" borderId="27" xfId="0" applyBorder="1" applyAlignment="1">
      <alignment/>
    </xf>
    <xf numFmtId="0" fontId="10" fillId="0" borderId="21" xfId="0" applyFont="1" applyBorder="1" applyAlignment="1">
      <alignment horizontal="center"/>
    </xf>
    <xf numFmtId="0" fontId="44" fillId="0" borderId="21" xfId="0" applyFont="1" applyBorder="1" applyAlignment="1">
      <alignment horizontal="center"/>
    </xf>
    <xf numFmtId="0" fontId="10" fillId="0" borderId="0" xfId="0" applyFont="1" applyBorder="1" applyAlignment="1">
      <alignment horizontal="center" vertical="center"/>
    </xf>
    <xf numFmtId="0" fontId="44" fillId="0" borderId="0"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37" fillId="0" borderId="10" xfId="0" applyFont="1" applyBorder="1" applyAlignment="1" applyProtection="1">
      <alignment horizontal="center" vertical="center"/>
      <protection locked="0"/>
    </xf>
    <xf numFmtId="0" fontId="29" fillId="0" borderId="0" xfId="0" applyNumberFormat="1" applyFont="1" applyBorder="1" applyAlignment="1">
      <alignment horizontal="left" vertical="center"/>
    </xf>
    <xf numFmtId="0" fontId="0" fillId="0" borderId="0" xfId="0" applyNumberFormat="1" applyBorder="1" applyAlignment="1">
      <alignment vertical="center"/>
    </xf>
    <xf numFmtId="0" fontId="12" fillId="0" borderId="20" xfId="0" applyFont="1" applyBorder="1" applyAlignment="1">
      <alignment vertical="center"/>
    </xf>
    <xf numFmtId="0" fontId="12" fillId="0" borderId="21" xfId="0" applyFont="1" applyBorder="1" applyAlignment="1">
      <alignment vertical="center"/>
    </xf>
    <xf numFmtId="1" fontId="12" fillId="0" borderId="26" xfId="0" applyNumberFormat="1" applyFont="1" applyBorder="1" applyAlignment="1">
      <alignment horizontal="center" vertical="center"/>
    </xf>
    <xf numFmtId="1" fontId="0" fillId="0" borderId="26" xfId="0" applyNumberFormat="1" applyBorder="1" applyAlignment="1">
      <alignment vertical="center"/>
    </xf>
    <xf numFmtId="0" fontId="11" fillId="0" borderId="25" xfId="0" applyNumberFormat="1" applyFont="1" applyBorder="1" applyAlignment="1">
      <alignment horizontal="center" vertical="center"/>
    </xf>
    <xf numFmtId="0" fontId="34" fillId="0" borderId="27" xfId="0" applyFont="1" applyBorder="1" applyAlignment="1">
      <alignment vertical="center"/>
    </xf>
    <xf numFmtId="0" fontId="5" fillId="0" borderId="25" xfId="0" applyFont="1" applyBorder="1" applyAlignment="1">
      <alignment horizontal="left" vertical="center"/>
    </xf>
    <xf numFmtId="0" fontId="0" fillId="0" borderId="26" xfId="0" applyBorder="1" applyAlignment="1">
      <alignment horizontal="left" vertical="center"/>
    </xf>
    <xf numFmtId="0" fontId="11" fillId="0" borderId="25" xfId="0" applyFont="1" applyBorder="1" applyAlignment="1">
      <alignment horizontal="center" vertical="center"/>
    </xf>
    <xf numFmtId="0" fontId="34" fillId="0" borderId="27" xfId="0" applyFont="1" applyBorder="1" applyAlignment="1">
      <alignment horizontal="center" vertical="center"/>
    </xf>
    <xf numFmtId="1" fontId="12" fillId="0" borderId="27" xfId="0" applyNumberFormat="1" applyFont="1" applyBorder="1" applyAlignment="1">
      <alignment horizontal="center" vertical="center"/>
    </xf>
    <xf numFmtId="0" fontId="12" fillId="0" borderId="26" xfId="0" applyNumberFormat="1" applyFont="1" applyBorder="1" applyAlignment="1">
      <alignment horizontal="center" vertical="center"/>
    </xf>
    <xf numFmtId="0" fontId="0" fillId="0" borderId="26" xfId="0" applyNumberFormat="1" applyBorder="1" applyAlignment="1">
      <alignment vertical="center"/>
    </xf>
    <xf numFmtId="0" fontId="43" fillId="0" borderId="21" xfId="0" applyNumberFormat="1" applyFont="1" applyBorder="1" applyAlignment="1">
      <alignment horizontal="center" vertical="center"/>
    </xf>
    <xf numFmtId="0" fontId="5" fillId="0" borderId="25" xfId="0" applyNumberFormat="1" applyFont="1" applyBorder="1" applyAlignment="1">
      <alignment horizontal="left" vertical="center"/>
    </xf>
    <xf numFmtId="0" fontId="0" fillId="0" borderId="26" xfId="0" applyNumberFormat="1" applyBorder="1" applyAlignment="1">
      <alignment horizontal="left" vertical="center"/>
    </xf>
    <xf numFmtId="0" fontId="0" fillId="0" borderId="27" xfId="0" applyBorder="1" applyAlignment="1">
      <alignment horizontal="center" vertical="center"/>
    </xf>
    <xf numFmtId="0" fontId="12" fillId="0" borderId="25" xfId="0" applyNumberFormat="1" applyFont="1" applyBorder="1" applyAlignment="1">
      <alignment horizontal="center" vertical="center"/>
    </xf>
    <xf numFmtId="0" fontId="12" fillId="0" borderId="27"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29" xfId="0" applyNumberFormat="1" applyFont="1" applyBorder="1" applyAlignment="1">
      <alignment horizontal="center" vertical="center"/>
    </xf>
    <xf numFmtId="1" fontId="43" fillId="0" borderId="21" xfId="0" applyNumberFormat="1" applyFont="1" applyBorder="1" applyAlignment="1">
      <alignment horizontal="center" vertical="center"/>
    </xf>
    <xf numFmtId="0" fontId="29" fillId="0" borderId="1" xfId="0" applyNumberFormat="1" applyFont="1" applyBorder="1" applyAlignment="1">
      <alignment horizontal="left" vertical="center"/>
    </xf>
    <xf numFmtId="0" fontId="0" fillId="0" borderId="1" xfId="0" applyNumberFormat="1" applyBorder="1" applyAlignment="1">
      <alignment vertical="center"/>
    </xf>
    <xf numFmtId="0" fontId="32" fillId="0" borderId="0" xfId="0" applyFont="1" applyAlignment="1">
      <alignment vertical="center"/>
    </xf>
    <xf numFmtId="0" fontId="7" fillId="0" borderId="28" xfId="0" applyFont="1" applyBorder="1" applyAlignment="1">
      <alignment horizontal="center" vertical="center"/>
    </xf>
    <xf numFmtId="0" fontId="7" fillId="0" borderId="1" xfId="0" applyFont="1" applyBorder="1" applyAlignment="1">
      <alignment horizontal="center" vertical="center"/>
    </xf>
    <xf numFmtId="0" fontId="7" fillId="0" borderId="29" xfId="0" applyFont="1" applyBorder="1" applyAlignment="1">
      <alignment horizontal="center" vertical="center"/>
    </xf>
    <xf numFmtId="1" fontId="12" fillId="0" borderId="25" xfId="0" applyNumberFormat="1" applyFont="1" applyBorder="1" applyAlignment="1">
      <alignment horizontal="center" vertical="center"/>
    </xf>
    <xf numFmtId="0" fontId="12" fillId="0" borderId="26" xfId="0" applyNumberFormat="1" applyFont="1" applyBorder="1" applyAlignment="1">
      <alignment vertical="center"/>
    </xf>
    <xf numFmtId="0" fontId="12" fillId="0" borderId="25" xfId="0" applyFont="1" applyBorder="1" applyAlignment="1">
      <alignment horizontal="center" vertical="center"/>
    </xf>
    <xf numFmtId="0" fontId="27" fillId="0" borderId="26" xfId="0" applyNumberFormat="1" applyFont="1" applyBorder="1" applyAlignment="1">
      <alignment horizontal="center" vertical="center"/>
    </xf>
    <xf numFmtId="0" fontId="27" fillId="0" borderId="27" xfId="0" applyNumberFormat="1" applyFont="1" applyBorder="1" applyAlignment="1">
      <alignment horizontal="center" vertical="center"/>
    </xf>
    <xf numFmtId="0" fontId="5" fillId="0" borderId="0" xfId="0" applyFont="1" applyAlignment="1">
      <alignment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31" fillId="0" borderId="0" xfId="0" applyFont="1" applyBorder="1" applyAlignment="1">
      <alignment horizontal="center" vertical="center"/>
    </xf>
    <xf numFmtId="0" fontId="4" fillId="0" borderId="0" xfId="0" applyFont="1" applyBorder="1" applyAlignment="1">
      <alignment vertical="center"/>
    </xf>
    <xf numFmtId="0" fontId="0" fillId="0" borderId="26" xfId="0" applyBorder="1" applyAlignment="1">
      <alignment horizontal="center" vertical="center"/>
    </xf>
    <xf numFmtId="0" fontId="34" fillId="0" borderId="27" xfId="0" applyNumberFormat="1" applyFont="1" applyBorder="1" applyAlignment="1">
      <alignment vertical="center"/>
    </xf>
    <xf numFmtId="0" fontId="29" fillId="0" borderId="1" xfId="0" applyNumberFormat="1" applyFont="1" applyBorder="1" applyAlignment="1">
      <alignment horizontal="center" vertical="center"/>
    </xf>
    <xf numFmtId="0" fontId="0" fillId="0" borderId="1" xfId="0" applyNumberFormat="1" applyBorder="1" applyAlignment="1">
      <alignment horizontal="center" vertical="center"/>
    </xf>
    <xf numFmtId="0" fontId="29" fillId="0" borderId="26" xfId="0" applyNumberFormat="1" applyFont="1" applyBorder="1" applyAlignment="1">
      <alignment horizontal="center" vertical="center"/>
    </xf>
    <xf numFmtId="0" fontId="0" fillId="0" borderId="26" xfId="0" applyNumberFormat="1" applyBorder="1" applyAlignment="1">
      <alignment horizontal="center" vertical="center"/>
    </xf>
    <xf numFmtId="0" fontId="29"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10" xfId="0" applyBorder="1" applyAlignment="1">
      <alignment/>
    </xf>
    <xf numFmtId="0" fontId="50" fillId="0" borderId="28" xfId="0" applyFont="1" applyBorder="1" applyAlignment="1" applyProtection="1">
      <alignment horizontal="center" vertical="center" shrinkToFit="1"/>
      <protection locked="0"/>
    </xf>
    <xf numFmtId="0" fontId="50" fillId="0" borderId="1" xfId="0" applyFont="1" applyBorder="1" applyAlignment="1" applyProtection="1">
      <alignment horizontal="center" vertical="center" shrinkToFit="1"/>
      <protection locked="0"/>
    </xf>
    <xf numFmtId="0" fontId="50" fillId="0" borderId="29" xfId="0" applyFont="1" applyBorder="1" applyAlignment="1" applyProtection="1">
      <alignment horizontal="center" vertical="center" shrinkToFit="1"/>
      <protection locked="0"/>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104775</xdr:colOff>
      <xdr:row>0</xdr:row>
      <xdr:rowOff>9525</xdr:rowOff>
    </xdr:from>
    <xdr:to>
      <xdr:col>44</xdr:col>
      <xdr:colOff>28575</xdr:colOff>
      <xdr:row>22</xdr:row>
      <xdr:rowOff>600075</xdr:rowOff>
    </xdr:to>
    <xdr:pic>
      <xdr:nvPicPr>
        <xdr:cNvPr id="1" name="Picture 48"/>
        <xdr:cNvPicPr preferRelativeResize="1">
          <a:picLocks noChangeAspect="1"/>
        </xdr:cNvPicPr>
      </xdr:nvPicPr>
      <xdr:blipFill>
        <a:blip r:embed="rId1">
          <a:clrChange>
            <a:clrFrom>
              <a:srgbClr val="FCFCFC"/>
            </a:clrFrom>
            <a:clrTo>
              <a:srgbClr val="FCFCFC">
                <a:alpha val="0"/>
              </a:srgbClr>
            </a:clrTo>
          </a:clrChange>
        </a:blip>
        <a:stretch>
          <a:fillRect/>
        </a:stretch>
      </xdr:blipFill>
      <xdr:spPr>
        <a:xfrm>
          <a:off x="5591175" y="9525"/>
          <a:ext cx="1981200" cy="2914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24</xdr:row>
      <xdr:rowOff>9525</xdr:rowOff>
    </xdr:from>
    <xdr:to>
      <xdr:col>4</xdr:col>
      <xdr:colOff>0</xdr:colOff>
      <xdr:row>24</xdr:row>
      <xdr:rowOff>9525</xdr:rowOff>
    </xdr:to>
    <xdr:sp>
      <xdr:nvSpPr>
        <xdr:cNvPr id="1" name="Line 4"/>
        <xdr:cNvSpPr>
          <a:spLocks/>
        </xdr:cNvSpPr>
      </xdr:nvSpPr>
      <xdr:spPr>
        <a:xfrm flipH="1">
          <a:off x="419100" y="3695700"/>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21</xdr:row>
      <xdr:rowOff>38100</xdr:rowOff>
    </xdr:from>
    <xdr:to>
      <xdr:col>2</xdr:col>
      <xdr:colOff>0</xdr:colOff>
      <xdr:row>24</xdr:row>
      <xdr:rowOff>9525</xdr:rowOff>
    </xdr:to>
    <xdr:sp>
      <xdr:nvSpPr>
        <xdr:cNvPr id="2" name="Line 5"/>
        <xdr:cNvSpPr>
          <a:spLocks/>
        </xdr:cNvSpPr>
      </xdr:nvSpPr>
      <xdr:spPr>
        <a:xfrm flipV="1">
          <a:off x="419100" y="3238500"/>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CD142"/>
  <sheetViews>
    <sheetView tabSelected="1" zoomScale="75" zoomScaleNormal="75" workbookViewId="0" topLeftCell="A1">
      <selection activeCell="G2" sqref="G2:Y2"/>
    </sheetView>
  </sheetViews>
  <sheetFormatPr defaultColWidth="11.421875" defaultRowHeight="12.75"/>
  <cols>
    <col min="1" max="33" width="3.421875" style="15" customWidth="1"/>
    <col min="34" max="39" width="0.9921875" style="15" hidden="1" customWidth="1"/>
    <col min="40" max="40" width="0.9921875" style="12" hidden="1" customWidth="1"/>
    <col min="41" max="41" width="0.9921875" style="13" hidden="1" customWidth="1"/>
    <col min="42" max="43" width="0.9921875" style="14" hidden="1" customWidth="1"/>
    <col min="44" max="44" width="11.421875" style="14" hidden="1" customWidth="1"/>
    <col min="45" max="45" width="0.5625" style="14" customWidth="1"/>
    <col min="46" max="46" width="0" style="14" hidden="1" customWidth="1"/>
    <col min="47" max="47" width="0.5625" style="14" hidden="1" customWidth="1"/>
    <col min="48" max="48" width="0" style="14" hidden="1" customWidth="1"/>
    <col min="49" max="49" width="0.5625" style="14" hidden="1" customWidth="1"/>
    <col min="50" max="50" width="0" style="14" hidden="1" customWidth="1"/>
    <col min="51" max="51" width="0.5625" style="14" hidden="1" customWidth="1"/>
    <col min="52" max="52" width="0" style="14" hidden="1" customWidth="1"/>
    <col min="53" max="53" width="0.5625" style="14" hidden="1" customWidth="1"/>
    <col min="54" max="54" width="11.421875" style="14" hidden="1" customWidth="1"/>
    <col min="55" max="55" width="6.7109375" style="15" hidden="1" customWidth="1"/>
    <col min="56" max="16384" width="6.7109375" style="15" customWidth="1"/>
  </cols>
  <sheetData>
    <row r="1" spans="35:57" ht="12.75">
      <c r="AI1" s="65"/>
      <c r="AJ1" s="65"/>
      <c r="AK1" s="65"/>
      <c r="AL1" s="65"/>
      <c r="AM1" s="65"/>
      <c r="AN1" s="18"/>
      <c r="AO1" s="66"/>
      <c r="AP1" s="64"/>
      <c r="AQ1" s="64"/>
      <c r="AR1" s="64"/>
      <c r="AS1" s="64"/>
      <c r="AT1" s="64"/>
      <c r="AU1" s="64"/>
      <c r="AV1" s="64"/>
      <c r="AW1" s="64"/>
      <c r="AX1" s="64"/>
      <c r="AY1" s="64"/>
      <c r="AZ1" s="64"/>
      <c r="BA1" s="64"/>
      <c r="BB1" s="64"/>
      <c r="BC1" s="65"/>
      <c r="BD1" s="65"/>
      <c r="BE1" s="65"/>
    </row>
    <row r="2" spans="1:57" ht="22.5" customHeight="1">
      <c r="A2" s="369" t="s">
        <v>451</v>
      </c>
      <c r="B2" s="387"/>
      <c r="C2" s="387"/>
      <c r="D2" s="387"/>
      <c r="E2" s="387"/>
      <c r="F2" s="117"/>
      <c r="G2" s="547" t="s">
        <v>450</v>
      </c>
      <c r="H2" s="548"/>
      <c r="I2" s="548"/>
      <c r="J2" s="548"/>
      <c r="K2" s="548"/>
      <c r="L2" s="548"/>
      <c r="M2" s="548"/>
      <c r="N2" s="548"/>
      <c r="O2" s="548"/>
      <c r="P2" s="548"/>
      <c r="Q2" s="548"/>
      <c r="R2" s="548"/>
      <c r="S2" s="548"/>
      <c r="T2" s="548"/>
      <c r="U2" s="548"/>
      <c r="V2" s="548"/>
      <c r="W2" s="548"/>
      <c r="X2" s="548"/>
      <c r="Y2" s="549"/>
      <c r="AI2" s="65"/>
      <c r="AJ2" s="65"/>
      <c r="AK2" s="65"/>
      <c r="AL2" s="65"/>
      <c r="AM2" s="65"/>
      <c r="AN2" s="18"/>
      <c r="AO2" s="328"/>
      <c r="AP2" s="64"/>
      <c r="AQ2" s="64"/>
      <c r="AR2" s="64"/>
      <c r="AS2" s="64"/>
      <c r="AT2" s="64"/>
      <c r="AU2" s="64"/>
      <c r="AV2" s="64"/>
      <c r="AW2" s="64"/>
      <c r="AX2" s="64"/>
      <c r="AY2" s="18"/>
      <c r="AZ2" s="18"/>
      <c r="BA2" s="18"/>
      <c r="BB2" s="18"/>
      <c r="BC2" s="65"/>
      <c r="BD2" s="65"/>
      <c r="BE2" s="65"/>
    </row>
    <row r="3" spans="1:57" ht="3" customHeight="1">
      <c r="A3" s="313"/>
      <c r="AI3" s="65"/>
      <c r="AJ3" s="65"/>
      <c r="AK3" s="65"/>
      <c r="AL3" s="65"/>
      <c r="AM3" s="65"/>
      <c r="AN3" s="62"/>
      <c r="AO3" s="328"/>
      <c r="AP3" s="18"/>
      <c r="AQ3" s="18"/>
      <c r="AR3" s="18"/>
      <c r="AS3" s="18"/>
      <c r="AT3" s="18"/>
      <c r="AU3" s="18"/>
      <c r="AV3" s="18"/>
      <c r="AW3" s="18"/>
      <c r="AX3" s="62"/>
      <c r="AY3" s="18"/>
      <c r="AZ3" s="18"/>
      <c r="BA3" s="18"/>
      <c r="BB3" s="18"/>
      <c r="BC3" s="65"/>
      <c r="BD3" s="65"/>
      <c r="BE3" s="65"/>
    </row>
    <row r="4" spans="1:57" ht="12.75">
      <c r="A4" s="369" t="s">
        <v>1313</v>
      </c>
      <c r="B4" s="370"/>
      <c r="C4" s="370"/>
      <c r="D4" s="370"/>
      <c r="E4" s="370"/>
      <c r="F4" s="117"/>
      <c r="G4" s="386" t="s">
        <v>1314</v>
      </c>
      <c r="H4" s="375"/>
      <c r="I4" s="376"/>
      <c r="J4" s="117"/>
      <c r="K4" s="369" t="s">
        <v>281</v>
      </c>
      <c r="L4" s="372"/>
      <c r="M4" s="372"/>
      <c r="N4" s="117"/>
      <c r="O4" s="386" t="s">
        <v>282</v>
      </c>
      <c r="P4" s="375"/>
      <c r="Q4" s="376"/>
      <c r="R4" s="117"/>
      <c r="S4" s="369" t="s">
        <v>278</v>
      </c>
      <c r="T4" s="372"/>
      <c r="U4" s="372"/>
      <c r="V4" s="117"/>
      <c r="W4" s="386" t="s">
        <v>279</v>
      </c>
      <c r="X4" s="375"/>
      <c r="Y4" s="376"/>
      <c r="AI4" s="65"/>
      <c r="AJ4" s="65"/>
      <c r="AK4" s="65"/>
      <c r="AL4" s="65"/>
      <c r="AM4" s="65"/>
      <c r="AN4" s="18"/>
      <c r="AO4" s="328"/>
      <c r="AP4" s="64"/>
      <c r="AQ4" s="60"/>
      <c r="AR4" s="64"/>
      <c r="AS4" s="328"/>
      <c r="AT4" s="64"/>
      <c r="AU4" s="60"/>
      <c r="AV4" s="64"/>
      <c r="AW4" s="328"/>
      <c r="AX4" s="64"/>
      <c r="AY4" s="18"/>
      <c r="AZ4" s="18"/>
      <c r="BA4" s="18"/>
      <c r="BB4" s="18"/>
      <c r="BC4" s="65"/>
      <c r="BD4" s="65"/>
      <c r="BE4" s="65"/>
    </row>
    <row r="5" spans="1:57" ht="3" customHeight="1">
      <c r="A5" s="336"/>
      <c r="B5" s="320"/>
      <c r="C5" s="320"/>
      <c r="D5" s="320"/>
      <c r="E5" s="320"/>
      <c r="G5" s="12"/>
      <c r="K5" s="339"/>
      <c r="L5" s="320"/>
      <c r="M5" s="320"/>
      <c r="O5" s="12"/>
      <c r="S5" s="343"/>
      <c r="T5" s="320"/>
      <c r="U5" s="320"/>
      <c r="W5" s="12"/>
      <c r="AI5" s="65"/>
      <c r="AJ5" s="65"/>
      <c r="AK5" s="65"/>
      <c r="AL5" s="65"/>
      <c r="AM5" s="65"/>
      <c r="AN5" s="18"/>
      <c r="AO5" s="328"/>
      <c r="AP5" s="64"/>
      <c r="AQ5" s="18"/>
      <c r="AR5" s="64"/>
      <c r="AS5" s="18"/>
      <c r="AT5" s="64"/>
      <c r="AU5" s="18"/>
      <c r="AV5" s="64"/>
      <c r="AW5" s="18"/>
      <c r="AX5" s="64"/>
      <c r="AY5" s="18"/>
      <c r="AZ5" s="18"/>
      <c r="BA5" s="18"/>
      <c r="BB5" s="18"/>
      <c r="BC5" s="65"/>
      <c r="BD5" s="65"/>
      <c r="BE5" s="65"/>
    </row>
    <row r="6" spans="1:57" ht="3" customHeight="1">
      <c r="A6" s="336"/>
      <c r="B6" s="320"/>
      <c r="C6" s="320"/>
      <c r="D6" s="320"/>
      <c r="E6" s="320"/>
      <c r="G6" s="12"/>
      <c r="K6" s="339"/>
      <c r="L6" s="320"/>
      <c r="M6" s="320"/>
      <c r="O6" s="12"/>
      <c r="S6" s="343"/>
      <c r="T6" s="320"/>
      <c r="U6" s="320"/>
      <c r="W6" s="12"/>
      <c r="AI6" s="65"/>
      <c r="AJ6" s="65"/>
      <c r="AK6" s="65"/>
      <c r="AL6" s="65"/>
      <c r="AM6" s="65"/>
      <c r="AN6" s="18"/>
      <c r="AO6" s="328"/>
      <c r="AP6" s="64"/>
      <c r="AQ6" s="18"/>
      <c r="AR6" s="64"/>
      <c r="AS6" s="18"/>
      <c r="AT6" s="64"/>
      <c r="AU6" s="18"/>
      <c r="AV6" s="64"/>
      <c r="AW6" s="18"/>
      <c r="AX6" s="64"/>
      <c r="AY6" s="18"/>
      <c r="AZ6" s="18"/>
      <c r="BA6" s="18"/>
      <c r="BB6" s="18"/>
      <c r="BC6" s="65"/>
      <c r="BD6" s="65"/>
      <c r="BE6" s="65"/>
    </row>
    <row r="7" spans="1:57" ht="12.75">
      <c r="A7" s="369" t="s">
        <v>280</v>
      </c>
      <c r="B7" s="370"/>
      <c r="C7" s="370"/>
      <c r="D7" s="370"/>
      <c r="E7" s="370"/>
      <c r="F7" s="117"/>
      <c r="G7" s="386" t="s">
        <v>448</v>
      </c>
      <c r="H7" s="375"/>
      <c r="I7" s="376"/>
      <c r="J7" s="117"/>
      <c r="K7" s="369" t="s">
        <v>283</v>
      </c>
      <c r="L7" s="372"/>
      <c r="M7" s="372"/>
      <c r="N7" s="117"/>
      <c r="O7" s="386" t="s">
        <v>284</v>
      </c>
      <c r="P7" s="375"/>
      <c r="Q7" s="376"/>
      <c r="R7" s="117"/>
      <c r="S7" s="369" t="s">
        <v>2192</v>
      </c>
      <c r="T7" s="372"/>
      <c r="U7" s="372"/>
      <c r="V7" s="117"/>
      <c r="W7" s="364" t="s">
        <v>241</v>
      </c>
      <c r="X7" s="375"/>
      <c r="Y7" s="376"/>
      <c r="AI7" s="65"/>
      <c r="AJ7" s="65"/>
      <c r="AK7" s="65"/>
      <c r="AL7" s="65"/>
      <c r="AM7" s="65"/>
      <c r="AN7" s="18"/>
      <c r="AO7" s="18"/>
      <c r="AP7" s="64"/>
      <c r="AQ7" s="64"/>
      <c r="AR7" s="64"/>
      <c r="AS7" s="18"/>
      <c r="AT7" s="64"/>
      <c r="AU7" s="18"/>
      <c r="AV7" s="64"/>
      <c r="AW7" s="64"/>
      <c r="AX7" s="64"/>
      <c r="AY7" s="18"/>
      <c r="AZ7" s="18"/>
      <c r="BA7" s="18"/>
      <c r="BB7" s="18"/>
      <c r="BC7" s="65"/>
      <c r="BD7" s="65"/>
      <c r="BE7" s="65"/>
    </row>
    <row r="8" spans="1:57" ht="3" customHeight="1">
      <c r="A8" s="336"/>
      <c r="B8" s="320"/>
      <c r="C8" s="320"/>
      <c r="D8" s="320"/>
      <c r="E8" s="320"/>
      <c r="G8" s="12"/>
      <c r="K8" s="339"/>
      <c r="L8" s="320"/>
      <c r="M8" s="320"/>
      <c r="O8" s="12"/>
      <c r="S8" s="343"/>
      <c r="T8" s="320"/>
      <c r="U8" s="320"/>
      <c r="W8" s="12"/>
      <c r="AI8" s="65"/>
      <c r="AJ8" s="65"/>
      <c r="AK8" s="65"/>
      <c r="AL8" s="65"/>
      <c r="AM8" s="65"/>
      <c r="AN8" s="18"/>
      <c r="AO8" s="328"/>
      <c r="AP8" s="64"/>
      <c r="AQ8" s="18"/>
      <c r="AR8" s="64"/>
      <c r="AS8" s="18"/>
      <c r="AT8" s="64"/>
      <c r="AU8" s="18"/>
      <c r="AV8" s="64"/>
      <c r="AW8" s="18"/>
      <c r="AX8" s="64"/>
      <c r="AY8" s="18"/>
      <c r="AZ8" s="18"/>
      <c r="BA8" s="18"/>
      <c r="BB8" s="18"/>
      <c r="BC8" s="65"/>
      <c r="BD8" s="65"/>
      <c r="BE8" s="65"/>
    </row>
    <row r="9" spans="1:57" ht="12.75">
      <c r="A9" s="369" t="s">
        <v>1312</v>
      </c>
      <c r="B9" s="370"/>
      <c r="C9" s="370"/>
      <c r="D9" s="370"/>
      <c r="E9" s="370"/>
      <c r="F9" s="117"/>
      <c r="G9" s="386" t="s">
        <v>185</v>
      </c>
      <c r="H9" s="375"/>
      <c r="I9" s="376"/>
      <c r="J9" s="117"/>
      <c r="K9" s="369" t="s">
        <v>685</v>
      </c>
      <c r="L9" s="372"/>
      <c r="M9" s="372"/>
      <c r="N9" s="117"/>
      <c r="O9" s="386" t="s">
        <v>192</v>
      </c>
      <c r="P9" s="375"/>
      <c r="Q9" s="376"/>
      <c r="R9" s="117"/>
      <c r="S9" s="369" t="s">
        <v>686</v>
      </c>
      <c r="T9" s="372"/>
      <c r="U9" s="372"/>
      <c r="V9" s="117"/>
      <c r="W9" s="386"/>
      <c r="X9" s="375"/>
      <c r="Y9" s="376"/>
      <c r="AI9" s="65"/>
      <c r="AJ9" s="65"/>
      <c r="AK9" s="65"/>
      <c r="AL9" s="65"/>
      <c r="AM9" s="65"/>
      <c r="AN9" s="18"/>
      <c r="AO9" s="328"/>
      <c r="AP9" s="64"/>
      <c r="AQ9" s="61"/>
      <c r="AR9" s="64"/>
      <c r="AS9" s="61"/>
      <c r="AT9" s="64"/>
      <c r="AU9" s="18"/>
      <c r="AV9" s="64"/>
      <c r="AW9" s="18"/>
      <c r="AX9" s="64"/>
      <c r="AY9" s="18"/>
      <c r="AZ9" s="64"/>
      <c r="BA9" s="64"/>
      <c r="BB9" s="64"/>
      <c r="BC9" s="65"/>
      <c r="BD9" s="65"/>
      <c r="BE9" s="65"/>
    </row>
    <row r="10" spans="1:57" ht="3" customHeight="1">
      <c r="A10" s="336"/>
      <c r="B10" s="320"/>
      <c r="C10" s="320"/>
      <c r="D10" s="320"/>
      <c r="E10" s="320"/>
      <c r="G10" s="12"/>
      <c r="K10" s="339"/>
      <c r="L10" s="320"/>
      <c r="M10" s="320"/>
      <c r="O10" s="12"/>
      <c r="S10" s="343"/>
      <c r="T10" s="320"/>
      <c r="U10" s="320"/>
      <c r="W10" s="12"/>
      <c r="AI10" s="65"/>
      <c r="AJ10" s="65"/>
      <c r="AK10" s="65"/>
      <c r="AL10" s="65"/>
      <c r="AM10" s="65"/>
      <c r="AN10" s="18"/>
      <c r="AO10" s="328"/>
      <c r="AP10" s="64"/>
      <c r="AQ10" s="18"/>
      <c r="AR10" s="64"/>
      <c r="AS10" s="18"/>
      <c r="AT10" s="64"/>
      <c r="AU10" s="18"/>
      <c r="AV10" s="64"/>
      <c r="AW10" s="18"/>
      <c r="AX10" s="64"/>
      <c r="AY10" s="18"/>
      <c r="AZ10" s="18"/>
      <c r="BA10" s="18"/>
      <c r="BB10" s="18"/>
      <c r="BC10" s="65"/>
      <c r="BD10" s="65"/>
      <c r="BE10" s="65"/>
    </row>
    <row r="11" spans="1:57" ht="12.75" customHeight="1">
      <c r="A11" s="369" t="s">
        <v>275</v>
      </c>
      <c r="B11" s="370"/>
      <c r="C11" s="370"/>
      <c r="D11" s="370"/>
      <c r="E11" s="370"/>
      <c r="F11" s="117"/>
      <c r="G11" s="380">
        <f>VLOOKUP($AO$13,'ECKDAT allg'!$C$37:$I$119,4)</f>
        <v>6</v>
      </c>
      <c r="H11" s="375"/>
      <c r="I11" s="376"/>
      <c r="J11" s="117"/>
      <c r="K11" s="369" t="s">
        <v>275</v>
      </c>
      <c r="L11" s="372"/>
      <c r="M11" s="372"/>
      <c r="N11" s="117"/>
      <c r="O11" s="380">
        <f>VLOOKUP($AS$13,'ECKDAT allg'!$C$37:$I$118,4)</f>
        <v>6</v>
      </c>
      <c r="P11" s="375"/>
      <c r="Q11" s="376"/>
      <c r="R11" s="117"/>
      <c r="S11" s="369" t="s">
        <v>275</v>
      </c>
      <c r="T11" s="372"/>
      <c r="U11" s="372"/>
      <c r="V11" s="117"/>
      <c r="W11" s="380" t="str">
        <f>VLOOKUP($AW$13,'ECKDAT allg'!$C$37:$I$118,4)</f>
        <v>---</v>
      </c>
      <c r="X11" s="375"/>
      <c r="Y11" s="376"/>
      <c r="AI11" s="65"/>
      <c r="AJ11" s="65"/>
      <c r="AK11" s="65"/>
      <c r="AL11" s="65"/>
      <c r="AM11" s="65"/>
      <c r="AN11" s="18"/>
      <c r="AO11" s="328"/>
      <c r="AP11" s="64"/>
      <c r="AQ11" s="18"/>
      <c r="AR11" s="64"/>
      <c r="AS11" s="328"/>
      <c r="AT11" s="64"/>
      <c r="AU11" s="18"/>
      <c r="AV11" s="64"/>
      <c r="AW11" s="328"/>
      <c r="AX11" s="64"/>
      <c r="AY11" s="65"/>
      <c r="AZ11" s="65"/>
      <c r="BA11" s="18"/>
      <c r="BB11" s="18"/>
      <c r="BC11" s="65"/>
      <c r="BD11" s="65"/>
      <c r="BE11" s="65"/>
    </row>
    <row r="12" spans="1:57" ht="3" customHeight="1">
      <c r="A12" s="336"/>
      <c r="B12" s="320"/>
      <c r="C12" s="320"/>
      <c r="D12" s="320"/>
      <c r="E12" s="320"/>
      <c r="G12" s="12"/>
      <c r="K12" s="339"/>
      <c r="L12" s="320"/>
      <c r="M12" s="320"/>
      <c r="O12" s="12"/>
      <c r="S12" s="343"/>
      <c r="T12" s="320"/>
      <c r="U12" s="320"/>
      <c r="W12" s="12"/>
      <c r="AI12" s="65"/>
      <c r="AJ12" s="65"/>
      <c r="AK12" s="65"/>
      <c r="AL12" s="65"/>
      <c r="AM12" s="65"/>
      <c r="AN12" s="18"/>
      <c r="AO12" s="328"/>
      <c r="AP12" s="64"/>
      <c r="AQ12" s="18"/>
      <c r="AR12" s="64"/>
      <c r="AS12" s="18"/>
      <c r="AT12" s="64"/>
      <c r="AU12" s="18"/>
      <c r="AV12" s="64"/>
      <c r="AW12" s="18"/>
      <c r="AX12" s="64"/>
      <c r="AY12" s="18"/>
      <c r="AZ12" s="18"/>
      <c r="BA12" s="18"/>
      <c r="BB12" s="18"/>
      <c r="BC12" s="65"/>
      <c r="BD12" s="65"/>
      <c r="BE12" s="65"/>
    </row>
    <row r="13" spans="1:57" ht="12.75">
      <c r="A13" s="369" t="s">
        <v>1842</v>
      </c>
      <c r="B13" s="370"/>
      <c r="C13" s="370"/>
      <c r="D13" s="370"/>
      <c r="E13" s="370"/>
      <c r="F13" s="117"/>
      <c r="G13" s="366">
        <f>VLOOKUP($AO$13,'ECKDAT allg'!$C$37:$I$118,5)</f>
        <v>6</v>
      </c>
      <c r="H13" s="375"/>
      <c r="I13" s="376"/>
      <c r="J13" s="117"/>
      <c r="K13" s="340"/>
      <c r="L13" s="340"/>
      <c r="M13" s="340"/>
      <c r="N13" s="117"/>
      <c r="O13" s="366">
        <f>VLOOKUP($AS$13,'ECKDAT allg'!$C$37:$I$118,5)</f>
        <v>3</v>
      </c>
      <c r="P13" s="375"/>
      <c r="Q13" s="376"/>
      <c r="R13" s="117"/>
      <c r="S13" s="340"/>
      <c r="T13" s="340"/>
      <c r="U13" s="340"/>
      <c r="V13" s="117"/>
      <c r="W13" s="366" t="str">
        <f>VLOOKUP($AW$13,'ECKDAT allg'!$C$37:$I$118,5)</f>
        <v>---</v>
      </c>
      <c r="X13" s="375"/>
      <c r="Y13" s="376"/>
      <c r="AI13" s="65"/>
      <c r="AJ13" s="65"/>
      <c r="AK13" s="65"/>
      <c r="AL13" s="65"/>
      <c r="AM13" s="65"/>
      <c r="AN13" s="18"/>
      <c r="AO13" s="318">
        <v>8</v>
      </c>
      <c r="AP13" s="64"/>
      <c r="AQ13" s="18"/>
      <c r="AR13" s="64"/>
      <c r="AS13" s="183">
        <v>68</v>
      </c>
      <c r="AT13" s="64"/>
      <c r="AU13" s="18"/>
      <c r="AV13" s="64"/>
      <c r="AW13" s="183">
        <v>1</v>
      </c>
      <c r="AX13" s="64"/>
      <c r="AY13" s="18"/>
      <c r="AZ13" s="64"/>
      <c r="BA13" s="65"/>
      <c r="BB13" s="65"/>
      <c r="BC13" s="65"/>
      <c r="BD13" s="65"/>
      <c r="BE13" s="65"/>
    </row>
    <row r="14" spans="1:57" ht="3" customHeight="1">
      <c r="A14" s="337"/>
      <c r="B14" s="321"/>
      <c r="C14" s="321"/>
      <c r="D14" s="321"/>
      <c r="E14" s="321"/>
      <c r="F14" s="65"/>
      <c r="G14" s="316"/>
      <c r="H14" s="88"/>
      <c r="I14" s="88"/>
      <c r="K14" s="341"/>
      <c r="L14" s="209"/>
      <c r="M14" s="209"/>
      <c r="O14" s="316"/>
      <c r="P14" s="88"/>
      <c r="Q14" s="88"/>
      <c r="S14" s="341"/>
      <c r="T14" s="209"/>
      <c r="U14" s="209"/>
      <c r="W14" s="316"/>
      <c r="X14" s="88"/>
      <c r="Y14" s="88"/>
      <c r="AA14" s="317"/>
      <c r="AI14" s="65"/>
      <c r="AJ14" s="65"/>
      <c r="AK14" s="65"/>
      <c r="AL14" s="65"/>
      <c r="AM14" s="65"/>
      <c r="AN14" s="18"/>
      <c r="AO14" s="318"/>
      <c r="AP14" s="64"/>
      <c r="AQ14" s="18"/>
      <c r="AR14" s="64"/>
      <c r="AS14" s="183"/>
      <c r="AT14" s="64"/>
      <c r="AU14" s="18"/>
      <c r="AV14" s="64"/>
      <c r="AW14" s="183"/>
      <c r="AX14" s="64"/>
      <c r="AY14" s="18"/>
      <c r="AZ14" s="64"/>
      <c r="BA14" s="65"/>
      <c r="BB14" s="65"/>
      <c r="BC14" s="65"/>
      <c r="BD14" s="65"/>
      <c r="BE14" s="65"/>
    </row>
    <row r="15" spans="1:57" ht="12.75">
      <c r="A15" s="369" t="s">
        <v>923</v>
      </c>
      <c r="B15" s="370"/>
      <c r="C15" s="370"/>
      <c r="D15" s="370"/>
      <c r="E15" s="370"/>
      <c r="F15" s="117"/>
      <c r="G15" s="368">
        <f>VLOOKUP($AO$13,'ECKDAT allg'!$C$37:$I$118,7)+G38</f>
        <v>9</v>
      </c>
      <c r="H15" s="375"/>
      <c r="I15" s="376"/>
      <c r="J15" s="117"/>
      <c r="K15" s="342"/>
      <c r="L15" s="311"/>
      <c r="M15" s="311"/>
      <c r="N15" s="117"/>
      <c r="O15" s="368">
        <f>IF(VLOOKUP($AS$13,'ECKDAT allg'!$C$37:$I$118,7)="---","---",VLOOKUP($AS$13,'ECKDAT allg'!$C$37:$I$118,7)+G38)</f>
        <v>8</v>
      </c>
      <c r="P15" s="375"/>
      <c r="Q15" s="376"/>
      <c r="R15" s="117"/>
      <c r="S15" s="342"/>
      <c r="T15" s="311"/>
      <c r="U15" s="311"/>
      <c r="V15" s="117"/>
      <c r="W15" s="368" t="str">
        <f>IF(VLOOKUP($AW$13,'ECKDAT allg'!$C$37:$I$118,7)="---","---",VLOOKUP($AW$13,'ECKDAT allg'!$C$37:$I$118,7)+G38)</f>
        <v>---</v>
      </c>
      <c r="X15" s="375"/>
      <c r="Y15" s="376"/>
      <c r="AA15" s="317"/>
      <c r="AI15" s="65"/>
      <c r="AJ15" s="65"/>
      <c r="AK15" s="65"/>
      <c r="AL15" s="65"/>
      <c r="AM15" s="65"/>
      <c r="AN15" s="18"/>
      <c r="AO15" s="318"/>
      <c r="AP15" s="64"/>
      <c r="AQ15" s="18"/>
      <c r="AR15" s="64"/>
      <c r="AS15" s="183"/>
      <c r="AT15" s="64"/>
      <c r="AU15" s="18"/>
      <c r="AV15" s="64"/>
      <c r="AW15" s="183"/>
      <c r="AX15" s="64"/>
      <c r="AY15" s="18"/>
      <c r="AZ15" s="64"/>
      <c r="BA15" s="65"/>
      <c r="BB15" s="65"/>
      <c r="BC15" s="65"/>
      <c r="BD15" s="65"/>
      <c r="BE15" s="65"/>
    </row>
    <row r="16" spans="1:57" ht="3" customHeight="1">
      <c r="A16" s="336"/>
      <c r="B16" s="320"/>
      <c r="C16" s="320"/>
      <c r="D16" s="320"/>
      <c r="E16" s="320"/>
      <c r="AI16" s="65"/>
      <c r="AJ16" s="65"/>
      <c r="AK16" s="65"/>
      <c r="AL16" s="65"/>
      <c r="AM16" s="65"/>
      <c r="AN16" s="18"/>
      <c r="AO16" s="328"/>
      <c r="AP16" s="18"/>
      <c r="AQ16" s="18"/>
      <c r="AR16" s="18"/>
      <c r="AS16" s="18"/>
      <c r="AT16" s="18"/>
      <c r="AU16" s="18"/>
      <c r="AV16" s="18"/>
      <c r="AW16" s="18"/>
      <c r="AX16" s="18"/>
      <c r="AY16" s="18"/>
      <c r="AZ16" s="65"/>
      <c r="BA16" s="65"/>
      <c r="BB16" s="65"/>
      <c r="BC16" s="65"/>
      <c r="BD16" s="65"/>
      <c r="BE16" s="65"/>
    </row>
    <row r="17" spans="1:57" ht="12.75">
      <c r="A17" s="369" t="s">
        <v>2193</v>
      </c>
      <c r="B17" s="370"/>
      <c r="C17" s="370"/>
      <c r="D17" s="370"/>
      <c r="E17" s="370"/>
      <c r="F17" s="117"/>
      <c r="G17" s="364"/>
      <c r="H17" s="371"/>
      <c r="I17" s="371"/>
      <c r="J17" s="371"/>
      <c r="K17" s="371"/>
      <c r="L17" s="371"/>
      <c r="M17" s="371"/>
      <c r="N17" s="371"/>
      <c r="O17" s="371"/>
      <c r="P17" s="375"/>
      <c r="Q17" s="375"/>
      <c r="R17" s="375"/>
      <c r="S17" s="375"/>
      <c r="T17" s="375"/>
      <c r="U17" s="375"/>
      <c r="V17" s="375"/>
      <c r="W17" s="375"/>
      <c r="X17" s="375"/>
      <c r="Y17" s="376"/>
      <c r="AI17" s="65"/>
      <c r="AJ17" s="65"/>
      <c r="AK17" s="65"/>
      <c r="AL17" s="65"/>
      <c r="AM17" s="65"/>
      <c r="AN17" s="18"/>
      <c r="AO17" s="66"/>
      <c r="AP17" s="64"/>
      <c r="AQ17" s="64"/>
      <c r="AR17" s="64"/>
      <c r="AS17" s="64"/>
      <c r="AT17" s="64"/>
      <c r="AU17" s="64"/>
      <c r="AV17" s="64"/>
      <c r="AW17" s="64"/>
      <c r="AX17" s="64"/>
      <c r="AY17" s="18"/>
      <c r="AZ17" s="65"/>
      <c r="BA17" s="65"/>
      <c r="BB17" s="65"/>
      <c r="BC17" s="65"/>
      <c r="BD17" s="65"/>
      <c r="BE17" s="65"/>
    </row>
    <row r="18" spans="1:57" ht="3" customHeight="1">
      <c r="A18" s="338"/>
      <c r="B18" s="320"/>
      <c r="C18" s="320"/>
      <c r="D18" s="320"/>
      <c r="E18" s="320"/>
      <c r="AI18" s="65"/>
      <c r="AJ18" s="65"/>
      <c r="AK18" s="65"/>
      <c r="AL18" s="65"/>
      <c r="AM18" s="65"/>
      <c r="AN18" s="18"/>
      <c r="AO18" s="328"/>
      <c r="AP18" s="18"/>
      <c r="AQ18" s="18"/>
      <c r="AR18" s="18"/>
      <c r="AS18" s="18"/>
      <c r="AT18" s="18"/>
      <c r="AU18" s="18"/>
      <c r="AV18" s="18"/>
      <c r="AW18" s="18"/>
      <c r="AX18" s="18"/>
      <c r="AY18" s="18"/>
      <c r="AZ18" s="65"/>
      <c r="BA18" s="65"/>
      <c r="BB18" s="65"/>
      <c r="BC18" s="65"/>
      <c r="BD18" s="65"/>
      <c r="BE18" s="65"/>
    </row>
    <row r="19" spans="1:57" ht="12.75">
      <c r="A19" s="369" t="s">
        <v>724</v>
      </c>
      <c r="B19" s="370"/>
      <c r="C19" s="370"/>
      <c r="D19" s="370"/>
      <c r="E19" s="370"/>
      <c r="F19" s="117"/>
      <c r="G19" s="380">
        <f>VLOOKUP($AO$13,'ECKDAT allg'!$C$37:$I$119,3)</f>
        <v>15</v>
      </c>
      <c r="H19" s="375"/>
      <c r="I19" s="376"/>
      <c r="J19" s="117"/>
      <c r="K19" s="369" t="s">
        <v>724</v>
      </c>
      <c r="L19" s="372"/>
      <c r="M19" s="372"/>
      <c r="N19" s="117"/>
      <c r="O19" s="380">
        <f>VLOOKUP($AS$13,'ECKDAT allg'!$C$37:$I$119,3)</f>
        <v>18</v>
      </c>
      <c r="P19" s="375"/>
      <c r="Q19" s="376"/>
      <c r="R19" s="117"/>
      <c r="S19" s="369" t="s">
        <v>724</v>
      </c>
      <c r="T19" s="372"/>
      <c r="U19" s="372"/>
      <c r="V19" s="117"/>
      <c r="W19" s="380" t="str">
        <f>VLOOKUP($AW$13,'ECKDAT allg'!$C$37:$I$119,3)</f>
        <v>---</v>
      </c>
      <c r="X19" s="375"/>
      <c r="Y19" s="376"/>
      <c r="AI19" s="65"/>
      <c r="AJ19" s="65"/>
      <c r="AK19" s="65"/>
      <c r="AL19" s="65"/>
      <c r="AM19" s="65"/>
      <c r="AN19" s="18"/>
      <c r="AO19" s="18"/>
      <c r="AP19" s="64"/>
      <c r="AQ19" s="64"/>
      <c r="AR19" s="64"/>
      <c r="AS19" s="64"/>
      <c r="AT19" s="64"/>
      <c r="AU19" s="64"/>
      <c r="AV19" s="64"/>
      <c r="AW19" s="64"/>
      <c r="AX19" s="64"/>
      <c r="AY19" s="64"/>
      <c r="AZ19" s="64"/>
      <c r="BA19" s="64"/>
      <c r="BB19" s="64"/>
      <c r="BC19" s="65"/>
      <c r="BD19" s="65"/>
      <c r="BE19" s="65"/>
    </row>
    <row r="20" spans="1:57" ht="3" customHeight="1">
      <c r="A20" s="337"/>
      <c r="B20" s="321"/>
      <c r="C20" s="321"/>
      <c r="D20" s="321"/>
      <c r="E20" s="321"/>
      <c r="F20" s="65"/>
      <c r="G20" s="335"/>
      <c r="H20" s="80"/>
      <c r="I20" s="80"/>
      <c r="J20" s="65"/>
      <c r="K20" s="315"/>
      <c r="L20" s="80"/>
      <c r="M20" s="80"/>
      <c r="N20" s="65"/>
      <c r="O20" s="335"/>
      <c r="P20" s="80"/>
      <c r="Q20" s="80"/>
      <c r="R20" s="65"/>
      <c r="S20" s="315"/>
      <c r="T20" s="80"/>
      <c r="U20" s="80"/>
      <c r="V20" s="65"/>
      <c r="W20" s="335"/>
      <c r="X20" s="80"/>
      <c r="Y20" s="80"/>
      <c r="AI20" s="65"/>
      <c r="AJ20" s="65"/>
      <c r="AK20" s="65"/>
      <c r="AL20" s="65"/>
      <c r="AM20" s="65"/>
      <c r="AN20" s="18"/>
      <c r="AO20" s="18"/>
      <c r="AP20" s="64"/>
      <c r="AQ20" s="64"/>
      <c r="AR20" s="64"/>
      <c r="AS20" s="64"/>
      <c r="AT20" s="64"/>
      <c r="AU20" s="64"/>
      <c r="AV20" s="64"/>
      <c r="AW20" s="64"/>
      <c r="AX20" s="64"/>
      <c r="AY20" s="64"/>
      <c r="AZ20" s="64"/>
      <c r="BA20" s="64"/>
      <c r="BB20" s="64"/>
      <c r="BC20" s="65"/>
      <c r="BD20" s="65"/>
      <c r="BE20" s="65"/>
    </row>
    <row r="21" spans="1:57" ht="12.75">
      <c r="A21" s="369" t="s">
        <v>687</v>
      </c>
      <c r="B21" s="372"/>
      <c r="C21" s="372"/>
      <c r="D21" s="372"/>
      <c r="E21" s="372"/>
      <c r="F21" s="117"/>
      <c r="G21" s="367"/>
      <c r="H21" s="375"/>
      <c r="I21" s="376"/>
      <c r="J21" s="230"/>
      <c r="N21" s="65"/>
      <c r="O21" s="335"/>
      <c r="P21" s="80"/>
      <c r="Q21" s="80"/>
      <c r="R21" s="65"/>
      <c r="S21" s="315"/>
      <c r="T21" s="80"/>
      <c r="U21" s="80"/>
      <c r="V21" s="65"/>
      <c r="W21" s="335"/>
      <c r="X21" s="80"/>
      <c r="Y21" s="80"/>
      <c r="AI21" s="65"/>
      <c r="AJ21" s="65"/>
      <c r="AK21" s="65"/>
      <c r="AL21" s="65"/>
      <c r="AM21" s="65"/>
      <c r="AN21" s="18"/>
      <c r="AO21" s="18"/>
      <c r="AP21" s="64"/>
      <c r="AQ21" s="64"/>
      <c r="AR21" s="64"/>
      <c r="AS21" s="64"/>
      <c r="AT21" s="64"/>
      <c r="AU21" s="64"/>
      <c r="AV21" s="64"/>
      <c r="AW21" s="64"/>
      <c r="AX21" s="64"/>
      <c r="AY21" s="64"/>
      <c r="AZ21" s="64"/>
      <c r="BA21" s="64"/>
      <c r="BB21" s="64"/>
      <c r="BC21" s="65"/>
      <c r="BD21" s="65"/>
      <c r="BE21" s="65"/>
    </row>
    <row r="22" spans="35:57" ht="3" customHeight="1">
      <c r="AI22" s="65"/>
      <c r="AJ22" s="65"/>
      <c r="AK22" s="65"/>
      <c r="AL22" s="65"/>
      <c r="AM22" s="65"/>
      <c r="AN22" s="18"/>
      <c r="AO22" s="328"/>
      <c r="AP22" s="328">
        <f>G19</f>
        <v>15</v>
      </c>
      <c r="AQ22" s="328">
        <f>O19</f>
        <v>18</v>
      </c>
      <c r="AR22" s="328" t="str">
        <f>W19</f>
        <v>---</v>
      </c>
      <c r="AS22" s="328"/>
      <c r="AT22" s="18"/>
      <c r="AU22" s="18"/>
      <c r="AV22" s="18"/>
      <c r="AW22" s="18"/>
      <c r="AX22" s="18"/>
      <c r="AY22" s="18"/>
      <c r="AZ22" s="65"/>
      <c r="BA22" s="65"/>
      <c r="BB22" s="65"/>
      <c r="BC22" s="65"/>
      <c r="BD22" s="65"/>
      <c r="BE22" s="65"/>
    </row>
    <row r="23" spans="35:57" ht="48" customHeight="1">
      <c r="AI23" s="65"/>
      <c r="AJ23" s="65"/>
      <c r="AK23" s="65"/>
      <c r="AL23" s="65"/>
      <c r="AM23" s="65"/>
      <c r="AN23" s="18"/>
      <c r="AO23" s="328"/>
      <c r="AP23" s="18"/>
      <c r="AQ23" s="18"/>
      <c r="AR23" s="18"/>
      <c r="AS23" s="18"/>
      <c r="AT23" s="18"/>
      <c r="AU23" s="18"/>
      <c r="AV23" s="18"/>
      <c r="AW23" s="18"/>
      <c r="AX23" s="18"/>
      <c r="AY23" s="64"/>
      <c r="AZ23" s="64"/>
      <c r="BA23" s="64"/>
      <c r="BB23" s="64"/>
      <c r="BC23" s="65"/>
      <c r="BD23" s="65"/>
      <c r="BE23" s="65"/>
    </row>
    <row r="24" spans="1:57" ht="21" customHeight="1">
      <c r="A24" s="348" t="s">
        <v>285</v>
      </c>
      <c r="B24" s="349"/>
      <c r="C24" s="349"/>
      <c r="D24" s="349"/>
      <c r="E24" s="349"/>
      <c r="G24" s="359" t="s">
        <v>2484</v>
      </c>
      <c r="H24" s="355"/>
      <c r="I24" s="355"/>
      <c r="J24" s="312"/>
      <c r="K24" s="373" t="s">
        <v>286</v>
      </c>
      <c r="L24" s="355"/>
      <c r="M24" s="355"/>
      <c r="N24" s="312"/>
      <c r="O24" s="373" t="s">
        <v>287</v>
      </c>
      <c r="P24" s="355"/>
      <c r="Q24" s="355"/>
      <c r="R24" s="312"/>
      <c r="S24" s="359" t="s">
        <v>2487</v>
      </c>
      <c r="T24" s="355"/>
      <c r="U24" s="355"/>
      <c r="V24" s="312"/>
      <c r="W24" s="359" t="s">
        <v>2488</v>
      </c>
      <c r="X24" s="355"/>
      <c r="Y24" s="355"/>
      <c r="Z24" s="312"/>
      <c r="AA24" s="373" t="s">
        <v>288</v>
      </c>
      <c r="AB24" s="355"/>
      <c r="AC24" s="355"/>
      <c r="AD24" s="312"/>
      <c r="AE24" s="373" t="s">
        <v>2191</v>
      </c>
      <c r="AF24" s="355"/>
      <c r="AG24" s="355"/>
      <c r="AH24" s="88"/>
      <c r="AI24" s="80"/>
      <c r="AJ24" s="80"/>
      <c r="AK24" s="65"/>
      <c r="AL24" s="65"/>
      <c r="AM24" s="65"/>
      <c r="AN24" s="18"/>
      <c r="AO24" s="329">
        <v>71</v>
      </c>
      <c r="AP24" s="64"/>
      <c r="AQ24" s="319"/>
      <c r="AR24" s="64"/>
      <c r="AS24" s="310"/>
      <c r="AT24" s="64"/>
      <c r="AU24" s="310"/>
      <c r="AV24" s="64"/>
      <c r="AW24" s="319"/>
      <c r="AX24" s="64"/>
      <c r="AY24" s="64"/>
      <c r="AZ24" s="64"/>
      <c r="BA24" s="310"/>
      <c r="BB24" s="64"/>
      <c r="BC24" s="146"/>
      <c r="BD24" s="65"/>
      <c r="BE24" s="65"/>
    </row>
    <row r="25" spans="1:64" ht="3" customHeight="1">
      <c r="A25" s="16"/>
      <c r="G25" s="19"/>
      <c r="H25" s="14"/>
      <c r="I25" s="14"/>
      <c r="J25" s="14"/>
      <c r="K25" s="20"/>
      <c r="L25" s="14"/>
      <c r="M25" s="14"/>
      <c r="N25" s="14"/>
      <c r="O25" s="20"/>
      <c r="P25" s="14"/>
      <c r="Q25" s="14"/>
      <c r="R25" s="14"/>
      <c r="S25" s="19"/>
      <c r="T25" s="14"/>
      <c r="U25" s="14"/>
      <c r="V25" s="14"/>
      <c r="W25" s="19"/>
      <c r="X25" s="19"/>
      <c r="Y25" s="14"/>
      <c r="Z25" s="14"/>
      <c r="AA25" s="20"/>
      <c r="AB25" s="14"/>
      <c r="AC25" s="14"/>
      <c r="AD25" s="14"/>
      <c r="AE25" s="19"/>
      <c r="AF25" s="14"/>
      <c r="AG25" s="14"/>
      <c r="AI25" s="65"/>
      <c r="AJ25" s="65"/>
      <c r="AK25" s="65"/>
      <c r="AL25" s="65"/>
      <c r="AM25" s="65"/>
      <c r="AN25" s="18"/>
      <c r="AO25" s="66"/>
      <c r="AP25" s="64"/>
      <c r="AQ25" s="63"/>
      <c r="AR25" s="64"/>
      <c r="AS25" s="330"/>
      <c r="AT25" s="64"/>
      <c r="AU25" s="330"/>
      <c r="AV25" s="64"/>
      <c r="AW25" s="63"/>
      <c r="AX25" s="64"/>
      <c r="AY25" s="64"/>
      <c r="AZ25" s="64"/>
      <c r="BA25" s="330"/>
      <c r="BB25" s="64"/>
      <c r="BC25" s="146"/>
      <c r="BD25" s="146"/>
      <c r="BE25" s="65"/>
      <c r="BH25" s="65"/>
      <c r="BI25" s="65"/>
      <c r="BJ25" s="65"/>
      <c r="BK25" s="65"/>
      <c r="BL25" s="65"/>
    </row>
    <row r="26" spans="1:64" ht="21" customHeight="1">
      <c r="A26" s="350" t="str">
        <f>VLOOKUP($AO$24,ST!$A$2:$I$126,2)</f>
        <v>18/53</v>
      </c>
      <c r="B26" s="351"/>
      <c r="C26" s="351"/>
      <c r="D26" s="351"/>
      <c r="E26" s="351"/>
      <c r="F26" s="117"/>
      <c r="G26" s="356" t="str">
        <f>VLOOKUP($AO$24,ST!$A$2:$I$126,3)</f>
        <v>+2</v>
      </c>
      <c r="H26" s="357"/>
      <c r="I26" s="358"/>
      <c r="J26" s="116"/>
      <c r="K26" s="356" t="str">
        <f>VLOOKUP($AO$24,ST!$A$2:$I$126,4)</f>
        <v>+3</v>
      </c>
      <c r="L26" s="357"/>
      <c r="M26" s="358"/>
      <c r="N26" s="116"/>
      <c r="O26" s="356" t="str">
        <f>VLOOKUP($AO$24,ST!$A$2:$I$126,5)</f>
        <v>160</v>
      </c>
      <c r="P26" s="357"/>
      <c r="Q26" s="358"/>
      <c r="R26" s="116"/>
      <c r="S26" s="356" t="str">
        <f>VLOOKUP($AO$24,ST!$A$2:$I$126,6)</f>
        <v>305</v>
      </c>
      <c r="T26" s="357"/>
      <c r="U26" s="358"/>
      <c r="V26" s="116"/>
      <c r="W26" s="356" t="str">
        <f>VLOOKUP($AO$24,ST!$A$2:$I$126,7)</f>
        <v>13</v>
      </c>
      <c r="X26" s="357"/>
      <c r="Y26" s="358"/>
      <c r="Z26" s="116"/>
      <c r="AA26" s="361">
        <f>VLOOKUP($AO$24,ST!$A$2:$I$126,8)</f>
        <v>0.25</v>
      </c>
      <c r="AB26" s="357"/>
      <c r="AC26" s="358"/>
      <c r="AD26" s="116"/>
      <c r="AE26" s="356">
        <f>VLOOKUP($AO$24,ST!$A$2:$I$126,9)</f>
        <v>0</v>
      </c>
      <c r="AF26" s="357"/>
      <c r="AG26" s="358"/>
      <c r="AH26" s="88"/>
      <c r="AI26" s="80"/>
      <c r="AJ26" s="80"/>
      <c r="AK26" s="65"/>
      <c r="AL26" s="65"/>
      <c r="AM26" s="65"/>
      <c r="AN26" s="18"/>
      <c r="AO26" s="66"/>
      <c r="AP26" s="64"/>
      <c r="AQ26" s="64"/>
      <c r="AR26" s="64"/>
      <c r="AS26" s="64"/>
      <c r="AT26" s="64"/>
      <c r="AU26" s="64"/>
      <c r="AV26" s="64"/>
      <c r="AW26" s="64"/>
      <c r="AX26" s="64"/>
      <c r="AY26" s="64"/>
      <c r="AZ26" s="64"/>
      <c r="BA26" s="64"/>
      <c r="BB26" s="64"/>
      <c r="BC26" s="65"/>
      <c r="BD26" s="65"/>
      <c r="BE26" s="65"/>
      <c r="BH26" s="65"/>
      <c r="BI26" s="65"/>
      <c r="BJ26" s="65"/>
      <c r="BK26" s="65"/>
      <c r="BL26" s="65"/>
    </row>
    <row r="27" spans="1:64" ht="3" customHeight="1">
      <c r="A27" s="16"/>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I27" s="65"/>
      <c r="AJ27" s="65"/>
      <c r="AK27" s="65"/>
      <c r="AL27" s="65"/>
      <c r="AM27" s="65"/>
      <c r="AN27" s="18"/>
      <c r="AO27" s="66"/>
      <c r="AP27" s="64"/>
      <c r="AQ27" s="64"/>
      <c r="AR27" s="64"/>
      <c r="AS27" s="64"/>
      <c r="AT27" s="64"/>
      <c r="AU27" s="64"/>
      <c r="AV27" s="64"/>
      <c r="AW27" s="64"/>
      <c r="AX27" s="64"/>
      <c r="AY27" s="64"/>
      <c r="AZ27" s="64"/>
      <c r="BA27" s="64"/>
      <c r="BB27" s="64"/>
      <c r="BC27" s="65"/>
      <c r="BD27" s="65"/>
      <c r="BE27" s="65"/>
      <c r="BH27" s="65"/>
      <c r="BI27" s="65"/>
      <c r="BJ27" s="65"/>
      <c r="BK27" s="65"/>
      <c r="BL27" s="65"/>
    </row>
    <row r="28" spans="1:64" ht="21" customHeight="1">
      <c r="A28" s="348" t="s">
        <v>289</v>
      </c>
      <c r="B28" s="349"/>
      <c r="C28" s="349"/>
      <c r="D28" s="349"/>
      <c r="E28" s="349"/>
      <c r="G28" s="373" t="s">
        <v>290</v>
      </c>
      <c r="H28" s="355"/>
      <c r="I28" s="355"/>
      <c r="J28" s="312"/>
      <c r="K28" s="373" t="s">
        <v>291</v>
      </c>
      <c r="L28" s="355"/>
      <c r="M28" s="355"/>
      <c r="N28" s="312"/>
      <c r="O28" s="373" t="s">
        <v>292</v>
      </c>
      <c r="P28" s="355"/>
      <c r="Q28" s="355"/>
      <c r="R28" s="312"/>
      <c r="S28" s="71"/>
      <c r="T28" s="312"/>
      <c r="U28" s="312"/>
      <c r="V28" s="312"/>
      <c r="W28" s="71"/>
      <c r="X28" s="71"/>
      <c r="Y28" s="71"/>
      <c r="Z28" s="312"/>
      <c r="AA28" s="312"/>
      <c r="AB28" s="312"/>
      <c r="AC28" s="312"/>
      <c r="AD28" s="312"/>
      <c r="AE28" s="373" t="s">
        <v>2191</v>
      </c>
      <c r="AF28" s="355"/>
      <c r="AG28" s="355"/>
      <c r="AI28" s="65"/>
      <c r="AJ28" s="65"/>
      <c r="AK28" s="65"/>
      <c r="AL28" s="65"/>
      <c r="AM28" s="65"/>
      <c r="AN28" s="18"/>
      <c r="AO28" s="329">
        <v>19</v>
      </c>
      <c r="AP28" s="64"/>
      <c r="AQ28" s="319"/>
      <c r="AR28" s="64"/>
      <c r="AS28" s="319"/>
      <c r="AT28" s="64"/>
      <c r="AU28" s="331"/>
      <c r="AV28" s="64"/>
      <c r="AW28" s="331"/>
      <c r="AX28" s="64"/>
      <c r="AY28" s="64"/>
      <c r="AZ28" s="64"/>
      <c r="BA28" s="319"/>
      <c r="BB28" s="64"/>
      <c r="BC28" s="65"/>
      <c r="BD28" s="65"/>
      <c r="BE28" s="65"/>
      <c r="BH28" s="65"/>
      <c r="BI28" s="160"/>
      <c r="BJ28" s="18"/>
      <c r="BK28" s="18"/>
      <c r="BL28" s="65"/>
    </row>
    <row r="29" spans="1:64" ht="3" customHeight="1">
      <c r="A29" s="16"/>
      <c r="G29" s="20"/>
      <c r="H29" s="14"/>
      <c r="I29" s="14"/>
      <c r="J29" s="14"/>
      <c r="K29" s="20"/>
      <c r="L29" s="14"/>
      <c r="M29" s="14"/>
      <c r="N29" s="14"/>
      <c r="O29" s="20"/>
      <c r="P29" s="14"/>
      <c r="Q29" s="14"/>
      <c r="R29" s="14"/>
      <c r="S29" s="14"/>
      <c r="T29" s="14"/>
      <c r="U29" s="14"/>
      <c r="V29" s="14"/>
      <c r="W29" s="14"/>
      <c r="X29" s="19"/>
      <c r="Y29" s="19"/>
      <c r="Z29" s="14"/>
      <c r="AA29" s="14"/>
      <c r="AB29" s="14"/>
      <c r="AC29" s="14"/>
      <c r="AD29" s="14"/>
      <c r="AE29" s="19"/>
      <c r="AF29" s="14"/>
      <c r="AG29" s="14"/>
      <c r="AI29" s="65"/>
      <c r="AJ29" s="65"/>
      <c r="AK29" s="65"/>
      <c r="AL29" s="65"/>
      <c r="AM29" s="65"/>
      <c r="AN29" s="18"/>
      <c r="AO29" s="66"/>
      <c r="AP29" s="64"/>
      <c r="AQ29" s="63"/>
      <c r="AR29" s="64"/>
      <c r="AS29" s="63"/>
      <c r="AT29" s="64"/>
      <c r="AU29" s="65"/>
      <c r="AV29" s="64"/>
      <c r="AW29" s="65"/>
      <c r="AX29" s="64"/>
      <c r="AY29" s="64"/>
      <c r="AZ29" s="64"/>
      <c r="BA29" s="63"/>
      <c r="BB29" s="64"/>
      <c r="BC29" s="65"/>
      <c r="BD29" s="65"/>
      <c r="BE29" s="65"/>
      <c r="BH29" s="65"/>
      <c r="BI29" s="65"/>
      <c r="BJ29" s="65"/>
      <c r="BK29" s="65"/>
      <c r="BL29" s="65"/>
    </row>
    <row r="30" spans="1:64" ht="21" customHeight="1">
      <c r="A30" s="350">
        <f>VLOOKUP($AO$28,'GE'!$A$2:$E$26,2)</f>
        <v>19</v>
      </c>
      <c r="B30" s="351"/>
      <c r="C30" s="351"/>
      <c r="D30" s="351"/>
      <c r="E30" s="351"/>
      <c r="F30" s="117"/>
      <c r="G30" s="356" t="str">
        <f>VLOOKUP($AO$28,'GE'!$A$2:$E$26,3)</f>
        <v>+3</v>
      </c>
      <c r="H30" s="357"/>
      <c r="I30" s="358"/>
      <c r="J30" s="116"/>
      <c r="K30" s="356" t="str">
        <f>VLOOKUP($AO$28,'GE'!$A$2:$E$26,4)</f>
        <v>+3</v>
      </c>
      <c r="L30" s="357"/>
      <c r="M30" s="358"/>
      <c r="N30" s="116"/>
      <c r="O30" s="362" t="str">
        <f>VLOOKUP($AO$28,'GE'!$A$2:$E$26,5)</f>
        <v>-4</v>
      </c>
      <c r="P30" s="357"/>
      <c r="Q30" s="358"/>
      <c r="R30" s="116"/>
      <c r="S30" s="116"/>
      <c r="T30" s="116"/>
      <c r="U30" s="116"/>
      <c r="V30" s="116"/>
      <c r="W30" s="116"/>
      <c r="X30" s="116"/>
      <c r="Y30" s="116"/>
      <c r="Z30" s="116"/>
      <c r="AA30" s="116"/>
      <c r="AB30" s="116"/>
      <c r="AC30" s="116"/>
      <c r="AD30" s="116"/>
      <c r="AE30" s="356" t="str">
        <f>VLOOKUP($AO$28,'GE'!$A$2:$F$26,6)</f>
        <v>-</v>
      </c>
      <c r="AF30" s="357"/>
      <c r="AG30" s="358"/>
      <c r="AI30" s="65"/>
      <c r="AJ30" s="65"/>
      <c r="AK30" s="65"/>
      <c r="AL30" s="65"/>
      <c r="AM30" s="65"/>
      <c r="AN30" s="18"/>
      <c r="AO30" s="66"/>
      <c r="AP30" s="64"/>
      <c r="AQ30" s="64"/>
      <c r="AR30" s="64"/>
      <c r="AS30" s="64"/>
      <c r="AT30" s="64"/>
      <c r="AU30" s="65"/>
      <c r="AV30" s="64"/>
      <c r="AW30" s="65"/>
      <c r="AX30" s="64"/>
      <c r="AY30" s="64"/>
      <c r="AZ30" s="64"/>
      <c r="BA30" s="64"/>
      <c r="BB30" s="64"/>
      <c r="BC30" s="65"/>
      <c r="BD30" s="65"/>
      <c r="BE30" s="65"/>
      <c r="BH30" s="65"/>
      <c r="BI30" s="160"/>
      <c r="BJ30" s="18"/>
      <c r="BK30" s="18"/>
      <c r="BL30" s="65"/>
    </row>
    <row r="31" spans="1:64" ht="3" customHeight="1">
      <c r="A31" s="16"/>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I31" s="65"/>
      <c r="AJ31" s="65"/>
      <c r="AK31" s="65"/>
      <c r="AL31" s="65"/>
      <c r="AM31" s="65"/>
      <c r="AN31" s="18"/>
      <c r="AO31" s="66"/>
      <c r="AP31" s="64"/>
      <c r="AQ31" s="64"/>
      <c r="AR31" s="64"/>
      <c r="AS31" s="64"/>
      <c r="AT31" s="64"/>
      <c r="AU31" s="64"/>
      <c r="AV31" s="64"/>
      <c r="AW31" s="64"/>
      <c r="AX31" s="64"/>
      <c r="AY31" s="64"/>
      <c r="AZ31" s="64"/>
      <c r="BA31" s="64"/>
      <c r="BB31" s="64"/>
      <c r="BC31" s="65"/>
      <c r="BD31" s="65"/>
      <c r="BE31" s="65"/>
      <c r="BH31" s="65"/>
      <c r="BI31" s="18"/>
      <c r="BJ31" s="18"/>
      <c r="BK31" s="18"/>
      <c r="BL31" s="65"/>
    </row>
    <row r="32" spans="1:64" ht="21" customHeight="1">
      <c r="A32" s="348" t="s">
        <v>293</v>
      </c>
      <c r="B32" s="349"/>
      <c r="C32" s="349"/>
      <c r="D32" s="349"/>
      <c r="E32" s="349"/>
      <c r="G32" s="359" t="s">
        <v>120</v>
      </c>
      <c r="H32" s="355"/>
      <c r="I32" s="355"/>
      <c r="J32" s="312"/>
      <c r="K32" s="373" t="s">
        <v>294</v>
      </c>
      <c r="L32" s="355"/>
      <c r="M32" s="355"/>
      <c r="N32" s="312"/>
      <c r="O32" s="373" t="s">
        <v>295</v>
      </c>
      <c r="P32" s="355"/>
      <c r="Q32" s="355"/>
      <c r="R32" s="312"/>
      <c r="S32" s="373" t="s">
        <v>296</v>
      </c>
      <c r="T32" s="355"/>
      <c r="U32" s="355"/>
      <c r="V32" s="312"/>
      <c r="W32" s="359" t="s">
        <v>124</v>
      </c>
      <c r="X32" s="355"/>
      <c r="Y32" s="355"/>
      <c r="Z32" s="355"/>
      <c r="AA32" s="355"/>
      <c r="AB32" s="355"/>
      <c r="AC32" s="355"/>
      <c r="AD32" s="312"/>
      <c r="AE32" s="373" t="s">
        <v>2191</v>
      </c>
      <c r="AF32" s="355"/>
      <c r="AG32" s="355"/>
      <c r="AI32" s="65"/>
      <c r="AJ32" s="65"/>
      <c r="AK32" s="65"/>
      <c r="AL32" s="65"/>
      <c r="AM32" s="65"/>
      <c r="AN32" s="18"/>
      <c r="AO32" s="329">
        <v>12</v>
      </c>
      <c r="AP32" s="64"/>
      <c r="AQ32" s="319"/>
      <c r="AR32" s="64"/>
      <c r="AS32" s="319"/>
      <c r="AT32" s="64"/>
      <c r="AU32" s="319"/>
      <c r="AV32" s="64"/>
      <c r="AW32" s="319"/>
      <c r="AX32" s="64"/>
      <c r="AY32" s="64"/>
      <c r="AZ32" s="64"/>
      <c r="BA32" s="319"/>
      <c r="BB32" s="64"/>
      <c r="BC32" s="65"/>
      <c r="BD32" s="65"/>
      <c r="BE32" s="65"/>
      <c r="BH32" s="65"/>
      <c r="BI32" s="160"/>
      <c r="BJ32" s="18"/>
      <c r="BK32" s="18"/>
      <c r="BL32" s="65"/>
    </row>
    <row r="33" spans="1:64" ht="3" customHeight="1">
      <c r="A33" s="16"/>
      <c r="G33" s="19"/>
      <c r="H33" s="14"/>
      <c r="I33" s="14"/>
      <c r="J33" s="14"/>
      <c r="K33" s="20"/>
      <c r="L33" s="14"/>
      <c r="M33" s="14"/>
      <c r="N33" s="14"/>
      <c r="O33" s="20"/>
      <c r="P33" s="14"/>
      <c r="Q33" s="14"/>
      <c r="R33" s="14"/>
      <c r="S33" s="20"/>
      <c r="T33" s="14"/>
      <c r="U33" s="14"/>
      <c r="V33" s="14"/>
      <c r="W33" s="19"/>
      <c r="X33" s="14"/>
      <c r="Y33" s="14"/>
      <c r="Z33" s="14"/>
      <c r="AA33" s="14"/>
      <c r="AB33" s="14"/>
      <c r="AC33" s="14"/>
      <c r="AD33" s="14"/>
      <c r="AE33" s="19"/>
      <c r="AF33" s="14"/>
      <c r="AG33" s="14"/>
      <c r="AI33" s="65"/>
      <c r="AJ33" s="65"/>
      <c r="AK33" s="65"/>
      <c r="AL33" s="65"/>
      <c r="AM33" s="65"/>
      <c r="AN33" s="18"/>
      <c r="AO33" s="66"/>
      <c r="AP33" s="64"/>
      <c r="AQ33" s="63"/>
      <c r="AR33" s="64"/>
      <c r="AS33" s="63"/>
      <c r="AT33" s="64"/>
      <c r="AU33" s="63"/>
      <c r="AV33" s="64"/>
      <c r="AW33" s="63"/>
      <c r="AX33" s="64"/>
      <c r="AY33" s="64"/>
      <c r="AZ33" s="64"/>
      <c r="BA33" s="63"/>
      <c r="BB33" s="64"/>
      <c r="BC33" s="65"/>
      <c r="BD33" s="65"/>
      <c r="BE33" s="65"/>
      <c r="BH33" s="65"/>
      <c r="BI33" s="18"/>
      <c r="BJ33" s="18"/>
      <c r="BK33" s="18"/>
      <c r="BL33" s="65"/>
    </row>
    <row r="34" spans="1:64" ht="21" customHeight="1">
      <c r="A34" s="350">
        <f>VLOOKUP($AO$32,KO!$A$2:$H$26,2)</f>
        <v>12</v>
      </c>
      <c r="B34" s="351"/>
      <c r="C34" s="351"/>
      <c r="D34" s="351"/>
      <c r="E34" s="351"/>
      <c r="F34" s="117"/>
      <c r="G34" s="356" t="str">
        <f>VLOOKUP($AO$32,KO!$A$2:$H$26,3)</f>
        <v>0</v>
      </c>
      <c r="H34" s="357"/>
      <c r="I34" s="358"/>
      <c r="J34" s="116"/>
      <c r="K34" s="361">
        <f>VLOOKUP($AO$32,KO!$A$2:$H$26,5)</f>
        <v>0.8</v>
      </c>
      <c r="L34" s="357"/>
      <c r="M34" s="358"/>
      <c r="N34" s="116"/>
      <c r="O34" s="361">
        <f>VLOOKUP($AO$32,KO!$A$2:$H$26,6)</f>
        <v>0.85</v>
      </c>
      <c r="P34" s="357"/>
      <c r="Q34" s="358"/>
      <c r="R34" s="116"/>
      <c r="S34" s="356" t="str">
        <f>VLOOKUP($AO$32,KO!$A$2:$H$26,7)</f>
        <v>0</v>
      </c>
      <c r="T34" s="357"/>
      <c r="U34" s="358"/>
      <c r="V34" s="116"/>
      <c r="W34" s="356" t="str">
        <f>VLOOKUP($AO$32,KO!$A$2:$H$26,8)</f>
        <v>keine</v>
      </c>
      <c r="X34" s="360"/>
      <c r="Y34" s="360"/>
      <c r="Z34" s="357"/>
      <c r="AA34" s="357"/>
      <c r="AB34" s="357"/>
      <c r="AC34" s="358"/>
      <c r="AD34" s="116"/>
      <c r="AE34" s="356" t="str">
        <f>VLOOKUP($AO$32,KO!$A$2:$I$26,9)</f>
        <v>-</v>
      </c>
      <c r="AF34" s="357"/>
      <c r="AG34" s="358"/>
      <c r="AI34" s="65"/>
      <c r="AJ34" s="65"/>
      <c r="AK34" s="65"/>
      <c r="AL34" s="65"/>
      <c r="AM34" s="65"/>
      <c r="AN34" s="18"/>
      <c r="AO34" s="66"/>
      <c r="AP34" s="64"/>
      <c r="AQ34" s="64"/>
      <c r="AR34" s="64"/>
      <c r="AS34" s="64"/>
      <c r="AT34" s="64"/>
      <c r="AU34" s="64"/>
      <c r="AV34" s="64"/>
      <c r="AW34" s="64"/>
      <c r="AX34" s="64"/>
      <c r="AY34" s="64"/>
      <c r="AZ34" s="64"/>
      <c r="BA34" s="64"/>
      <c r="BB34" s="64"/>
      <c r="BC34" s="65"/>
      <c r="BD34" s="65"/>
      <c r="BE34" s="65"/>
      <c r="BH34" s="65"/>
      <c r="BI34" s="160"/>
      <c r="BJ34" s="18"/>
      <c r="BK34" s="18"/>
      <c r="BL34" s="65"/>
    </row>
    <row r="35" spans="1:64" ht="3" customHeight="1">
      <c r="A35" s="16"/>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I35" s="65"/>
      <c r="AJ35" s="65"/>
      <c r="AK35" s="65"/>
      <c r="AL35" s="65"/>
      <c r="AM35" s="65"/>
      <c r="AN35" s="18"/>
      <c r="AO35" s="66"/>
      <c r="AP35" s="64"/>
      <c r="AQ35" s="64"/>
      <c r="AR35" s="64"/>
      <c r="AS35" s="64"/>
      <c r="AT35" s="64"/>
      <c r="AU35" s="64"/>
      <c r="AV35" s="64"/>
      <c r="AW35" s="64"/>
      <c r="AX35" s="64"/>
      <c r="AY35" s="64"/>
      <c r="AZ35" s="64"/>
      <c r="BA35" s="64"/>
      <c r="BB35" s="64"/>
      <c r="BC35" s="65"/>
      <c r="BD35" s="65"/>
      <c r="BE35" s="18"/>
      <c r="BF35" s="12"/>
      <c r="BG35" s="12"/>
      <c r="BH35" s="65"/>
      <c r="BI35" s="65"/>
      <c r="BJ35" s="65"/>
      <c r="BK35" s="65"/>
      <c r="BL35" s="65"/>
    </row>
    <row r="36" spans="1:64" ht="21" customHeight="1">
      <c r="A36" s="348" t="s">
        <v>297</v>
      </c>
      <c r="B36" s="349"/>
      <c r="C36" s="349"/>
      <c r="D36" s="349"/>
      <c r="E36" s="349"/>
      <c r="G36" s="373" t="s">
        <v>298</v>
      </c>
      <c r="H36" s="355"/>
      <c r="I36" s="355"/>
      <c r="J36" s="312"/>
      <c r="K36" s="373" t="s">
        <v>299</v>
      </c>
      <c r="L36" s="355"/>
      <c r="M36" s="355"/>
      <c r="N36" s="312"/>
      <c r="O36" s="373" t="s">
        <v>300</v>
      </c>
      <c r="P36" s="355"/>
      <c r="Q36" s="355"/>
      <c r="R36" s="312"/>
      <c r="S36" s="373" t="s">
        <v>301</v>
      </c>
      <c r="T36" s="355"/>
      <c r="U36" s="355"/>
      <c r="V36" s="312"/>
      <c r="W36" s="373" t="s">
        <v>302</v>
      </c>
      <c r="X36" s="355"/>
      <c r="Y36" s="355"/>
      <c r="Z36" s="355"/>
      <c r="AA36" s="355"/>
      <c r="AB36" s="355"/>
      <c r="AC36" s="355"/>
      <c r="AD36" s="312"/>
      <c r="AE36" s="373" t="s">
        <v>2191</v>
      </c>
      <c r="AF36" s="355"/>
      <c r="AG36" s="355"/>
      <c r="AI36" s="65"/>
      <c r="AJ36" s="65"/>
      <c r="AK36" s="65"/>
      <c r="AL36" s="65"/>
      <c r="AM36" s="65"/>
      <c r="AN36" s="18"/>
      <c r="AO36" s="329">
        <v>14</v>
      </c>
      <c r="AP36" s="64"/>
      <c r="AQ36" s="319"/>
      <c r="AR36" s="64"/>
      <c r="AS36" s="319"/>
      <c r="AT36" s="64"/>
      <c r="AU36" s="319"/>
      <c r="AV36" s="64"/>
      <c r="AW36" s="319"/>
      <c r="AX36" s="64"/>
      <c r="AY36" s="64"/>
      <c r="AZ36" s="64"/>
      <c r="BA36" s="319"/>
      <c r="BB36" s="64"/>
      <c r="BC36" s="65"/>
      <c r="BD36" s="65"/>
      <c r="BE36" s="65"/>
      <c r="BH36" s="65"/>
      <c r="BI36" s="65"/>
      <c r="BJ36" s="65"/>
      <c r="BK36" s="65"/>
      <c r="BL36" s="65"/>
    </row>
    <row r="37" spans="1:57" ht="3" customHeight="1">
      <c r="A37" s="16"/>
      <c r="G37" s="20"/>
      <c r="H37" s="14"/>
      <c r="I37" s="14"/>
      <c r="J37" s="14"/>
      <c r="K37" s="20"/>
      <c r="L37" s="14"/>
      <c r="M37" s="14"/>
      <c r="N37" s="14"/>
      <c r="O37" s="20"/>
      <c r="P37" s="14"/>
      <c r="Q37" s="14"/>
      <c r="R37" s="14"/>
      <c r="S37" s="20"/>
      <c r="T37" s="14"/>
      <c r="U37" s="14"/>
      <c r="V37" s="14"/>
      <c r="W37" s="20"/>
      <c r="X37" s="14"/>
      <c r="Y37" s="14"/>
      <c r="Z37" s="14"/>
      <c r="AA37" s="14"/>
      <c r="AB37" s="14"/>
      <c r="AC37" s="14"/>
      <c r="AD37" s="14"/>
      <c r="AE37" s="19"/>
      <c r="AF37" s="14"/>
      <c r="AG37" s="14"/>
      <c r="AI37" s="65"/>
      <c r="AJ37" s="65"/>
      <c r="AK37" s="65"/>
      <c r="AL37" s="65"/>
      <c r="AM37" s="65"/>
      <c r="AN37" s="18"/>
      <c r="AO37" s="66"/>
      <c r="AP37" s="64"/>
      <c r="AQ37" s="63"/>
      <c r="AR37" s="64"/>
      <c r="AS37" s="63"/>
      <c r="AT37" s="64"/>
      <c r="AU37" s="63"/>
      <c r="AV37" s="64"/>
      <c r="AW37" s="63"/>
      <c r="AX37" s="64"/>
      <c r="AY37" s="64"/>
      <c r="AZ37" s="64"/>
      <c r="BA37" s="63"/>
      <c r="BB37" s="64"/>
      <c r="BC37" s="65"/>
      <c r="BD37" s="65"/>
      <c r="BE37" s="65"/>
    </row>
    <row r="38" spans="1:57" ht="21" customHeight="1">
      <c r="A38" s="350">
        <f>VLOOKUP($AO$36,'IN'!$A$2:$H$26,2)</f>
        <v>14</v>
      </c>
      <c r="B38" s="351"/>
      <c r="C38" s="351"/>
      <c r="D38" s="351"/>
      <c r="E38" s="351"/>
      <c r="F38" s="117"/>
      <c r="G38" s="356" t="str">
        <f>VLOOKUP($AO$36,'IN'!$A$2:$H$26,3)</f>
        <v>4</v>
      </c>
      <c r="H38" s="357"/>
      <c r="I38" s="358"/>
      <c r="J38" s="116"/>
      <c r="K38" s="356" t="str">
        <f>VLOOKUP($AO$36,'IN'!$A$2:$H$26,4)</f>
        <v>7</v>
      </c>
      <c r="L38" s="357"/>
      <c r="M38" s="358"/>
      <c r="N38" s="116"/>
      <c r="O38" s="361">
        <f>VLOOKUP($AO$36,'IN'!$A$2:$H$26,5)</f>
        <v>0.6</v>
      </c>
      <c r="P38" s="357"/>
      <c r="Q38" s="358"/>
      <c r="R38" s="116"/>
      <c r="S38" s="356" t="str">
        <f>VLOOKUP($AO$36,'IN'!$A$2:$H$26,6)</f>
        <v>9</v>
      </c>
      <c r="T38" s="357"/>
      <c r="U38" s="358"/>
      <c r="V38" s="116"/>
      <c r="W38" s="356" t="str">
        <f>VLOOKUP($AO$36,'IN'!$A$2:$H$26,7)</f>
        <v>keine</v>
      </c>
      <c r="X38" s="360"/>
      <c r="Y38" s="360"/>
      <c r="Z38" s="357"/>
      <c r="AA38" s="357"/>
      <c r="AB38" s="357"/>
      <c r="AC38" s="358"/>
      <c r="AD38" s="116"/>
      <c r="AE38" s="356" t="str">
        <f>VLOOKUP($AO$36,'IN'!$A$2:$H$26,8)</f>
        <v>-</v>
      </c>
      <c r="AF38" s="357"/>
      <c r="AG38" s="358"/>
      <c r="AI38" s="65"/>
      <c r="AJ38" s="65"/>
      <c r="AK38" s="65"/>
      <c r="AL38" s="65"/>
      <c r="AM38" s="65"/>
      <c r="AN38" s="18"/>
      <c r="AO38" s="66"/>
      <c r="AP38" s="64"/>
      <c r="AQ38" s="64"/>
      <c r="AR38" s="64"/>
      <c r="AS38" s="64"/>
      <c r="AT38" s="64"/>
      <c r="AU38" s="64"/>
      <c r="AV38" s="64"/>
      <c r="AW38" s="64"/>
      <c r="AX38" s="64"/>
      <c r="AY38" s="64"/>
      <c r="AZ38" s="64"/>
      <c r="BA38" s="64"/>
      <c r="BB38" s="64"/>
      <c r="BC38" s="65"/>
      <c r="BD38" s="65"/>
      <c r="BE38" s="65"/>
    </row>
    <row r="39" spans="1:57" ht="3" customHeight="1">
      <c r="A39" s="16"/>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I39" s="65"/>
      <c r="AJ39" s="65"/>
      <c r="AK39" s="65"/>
      <c r="AL39" s="65"/>
      <c r="AM39" s="65"/>
      <c r="AN39" s="18"/>
      <c r="AO39" s="66"/>
      <c r="AP39" s="64"/>
      <c r="AQ39" s="64"/>
      <c r="AR39" s="64"/>
      <c r="AS39" s="64"/>
      <c r="AT39" s="64"/>
      <c r="AU39" s="64"/>
      <c r="AV39" s="64"/>
      <c r="AW39" s="64"/>
      <c r="AX39" s="64"/>
      <c r="AY39" s="64"/>
      <c r="AZ39" s="64"/>
      <c r="BA39" s="64"/>
      <c r="BB39" s="64"/>
      <c r="BC39" s="65"/>
      <c r="BD39" s="65"/>
      <c r="BE39" s="65"/>
    </row>
    <row r="40" spans="1:57" ht="21" customHeight="1">
      <c r="A40" s="348" t="s">
        <v>303</v>
      </c>
      <c r="B40" s="349"/>
      <c r="C40" s="349"/>
      <c r="D40" s="349"/>
      <c r="E40" s="349"/>
      <c r="G40" s="373" t="s">
        <v>304</v>
      </c>
      <c r="H40" s="355"/>
      <c r="I40" s="355"/>
      <c r="J40" s="312"/>
      <c r="K40" s="373" t="s">
        <v>305</v>
      </c>
      <c r="L40" s="355"/>
      <c r="M40" s="355"/>
      <c r="N40" s="312"/>
      <c r="O40" s="373" t="s">
        <v>306</v>
      </c>
      <c r="P40" s="355"/>
      <c r="Q40" s="355"/>
      <c r="R40" s="312"/>
      <c r="S40" s="383" t="s">
        <v>307</v>
      </c>
      <c r="T40" s="382"/>
      <c r="U40" s="382"/>
      <c r="V40" s="382"/>
      <c r="W40" s="382"/>
      <c r="X40" s="382"/>
      <c r="Y40" s="382"/>
      <c r="Z40" s="382"/>
      <c r="AA40" s="382"/>
      <c r="AB40" s="382"/>
      <c r="AC40" s="382"/>
      <c r="AD40" s="382"/>
      <c r="AE40" s="382"/>
      <c r="AF40" s="382"/>
      <c r="AG40" s="382"/>
      <c r="AI40" s="65"/>
      <c r="AJ40" s="65"/>
      <c r="AK40" s="65"/>
      <c r="AL40" s="65"/>
      <c r="AM40" s="65"/>
      <c r="AN40" s="18"/>
      <c r="AO40" s="329">
        <v>8</v>
      </c>
      <c r="AP40" s="64"/>
      <c r="AQ40" s="319"/>
      <c r="AR40" s="64"/>
      <c r="AS40" s="319"/>
      <c r="AT40" s="64"/>
      <c r="AU40" s="319"/>
      <c r="AV40" s="64"/>
      <c r="AW40" s="64"/>
      <c r="AX40" s="64"/>
      <c r="AY40" s="64"/>
      <c r="AZ40" s="64"/>
      <c r="BA40" s="64"/>
      <c r="BB40" s="64"/>
      <c r="BC40" s="65"/>
      <c r="BD40" s="65"/>
      <c r="BE40" s="65"/>
    </row>
    <row r="41" spans="1:57" ht="3" customHeight="1">
      <c r="A41" s="16"/>
      <c r="G41" s="20"/>
      <c r="H41" s="14"/>
      <c r="I41" s="14"/>
      <c r="J41" s="14"/>
      <c r="K41" s="20"/>
      <c r="L41" s="14"/>
      <c r="M41" s="14"/>
      <c r="N41" s="14"/>
      <c r="O41" s="20"/>
      <c r="P41" s="14"/>
      <c r="Q41" s="14"/>
      <c r="R41" s="14"/>
      <c r="W41" s="64"/>
      <c r="X41" s="314"/>
      <c r="Y41" s="314"/>
      <c r="Z41" s="314"/>
      <c r="AA41" s="314"/>
      <c r="AB41" s="314"/>
      <c r="AC41" s="314"/>
      <c r="AD41" s="14"/>
      <c r="AE41" s="14"/>
      <c r="AF41" s="14"/>
      <c r="AG41" s="14"/>
      <c r="AI41" s="65"/>
      <c r="AJ41" s="65"/>
      <c r="AK41" s="65"/>
      <c r="AL41" s="65"/>
      <c r="AM41" s="65"/>
      <c r="AN41" s="18"/>
      <c r="AO41" s="66"/>
      <c r="AP41" s="64"/>
      <c r="AQ41" s="63"/>
      <c r="AR41" s="64"/>
      <c r="AS41" s="63"/>
      <c r="AT41" s="64"/>
      <c r="AU41" s="63"/>
      <c r="AV41" s="64"/>
      <c r="AW41" s="64"/>
      <c r="AX41" s="64"/>
      <c r="AY41" s="64"/>
      <c r="AZ41" s="64"/>
      <c r="BA41" s="64"/>
      <c r="BB41" s="64"/>
      <c r="BC41" s="65"/>
      <c r="BD41" s="65"/>
      <c r="BE41" s="65"/>
    </row>
    <row r="42" spans="1:57" ht="21" customHeight="1">
      <c r="A42" s="350">
        <f>VLOOKUP($AO$40,WE!$A$2:$G$26,2)</f>
        <v>8</v>
      </c>
      <c r="B42" s="351"/>
      <c r="C42" s="351"/>
      <c r="D42" s="351"/>
      <c r="E42" s="351"/>
      <c r="F42" s="117"/>
      <c r="G42" s="356" t="str">
        <f>VLOOKUP($AO$40,WE!$A$2:$G$26,3)</f>
        <v>0</v>
      </c>
      <c r="H42" s="357"/>
      <c r="I42" s="358"/>
      <c r="J42" s="116"/>
      <c r="K42" s="363" t="str">
        <f>VLOOKUP($AO$40,WE!$A$2:$G$26,4)</f>
        <v>-</v>
      </c>
      <c r="L42" s="357"/>
      <c r="M42" s="358"/>
      <c r="N42" s="116"/>
      <c r="O42" s="361">
        <f>VLOOKUP($AO$40,WE!$A$2:$G$26,5)</f>
        <v>0.25</v>
      </c>
      <c r="P42" s="357"/>
      <c r="Q42" s="358"/>
      <c r="R42" s="116"/>
      <c r="S42" s="352" t="str">
        <f>VLOOKUP($AO$40,WE!$A$2:$G$26,6)</f>
        <v>keine</v>
      </c>
      <c r="T42" s="375"/>
      <c r="U42" s="375"/>
      <c r="V42" s="375"/>
      <c r="W42" s="375"/>
      <c r="X42" s="375"/>
      <c r="Y42" s="375"/>
      <c r="Z42" s="375"/>
      <c r="AA42" s="375"/>
      <c r="AB42" s="375"/>
      <c r="AC42" s="375"/>
      <c r="AD42" s="375"/>
      <c r="AE42" s="375"/>
      <c r="AF42" s="375"/>
      <c r="AG42" s="376"/>
      <c r="AI42" s="65"/>
      <c r="AJ42" s="65"/>
      <c r="AK42" s="65"/>
      <c r="AL42" s="65"/>
      <c r="AM42" s="65"/>
      <c r="AN42" s="18"/>
      <c r="AO42" s="66"/>
      <c r="AP42" s="64"/>
      <c r="AQ42" s="64"/>
      <c r="AR42" s="64"/>
      <c r="AS42" s="64"/>
      <c r="AT42" s="64"/>
      <c r="AU42" s="64"/>
      <c r="AV42" s="64"/>
      <c r="AW42" s="64"/>
      <c r="AX42" s="64"/>
      <c r="AY42" s="64"/>
      <c r="AZ42" s="64"/>
      <c r="BA42" s="64"/>
      <c r="BB42" s="64"/>
      <c r="BC42" s="65"/>
      <c r="BD42" s="65"/>
      <c r="BE42" s="65"/>
    </row>
    <row r="43" spans="1:57" ht="3" customHeight="1">
      <c r="A43" s="16"/>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I43" s="65"/>
      <c r="AJ43" s="65"/>
      <c r="AK43" s="65"/>
      <c r="AL43" s="65"/>
      <c r="AM43" s="65"/>
      <c r="AN43" s="18"/>
      <c r="AO43" s="66"/>
      <c r="AP43" s="64"/>
      <c r="AQ43" s="64"/>
      <c r="AR43" s="64"/>
      <c r="AS43" s="64"/>
      <c r="AT43" s="64"/>
      <c r="AU43" s="64"/>
      <c r="AV43" s="79"/>
      <c r="AW43" s="79"/>
      <c r="AX43" s="79"/>
      <c r="AY43" s="79"/>
      <c r="AZ43" s="79"/>
      <c r="BA43" s="79"/>
      <c r="BB43" s="79"/>
      <c r="BC43" s="65"/>
      <c r="BD43" s="65"/>
      <c r="BE43" s="65"/>
    </row>
    <row r="44" spans="1:57" ht="21" customHeight="1">
      <c r="A44" s="348" t="s">
        <v>308</v>
      </c>
      <c r="B44" s="349"/>
      <c r="C44" s="349"/>
      <c r="D44" s="349"/>
      <c r="E44" s="349"/>
      <c r="G44" s="373" t="s">
        <v>309</v>
      </c>
      <c r="H44" s="355"/>
      <c r="I44" s="355"/>
      <c r="J44" s="312"/>
      <c r="K44" s="373" t="s">
        <v>310</v>
      </c>
      <c r="L44" s="355"/>
      <c r="M44" s="355"/>
      <c r="N44" s="312"/>
      <c r="O44" s="373" t="s">
        <v>290</v>
      </c>
      <c r="P44" s="355"/>
      <c r="Q44" s="355"/>
      <c r="R44" s="312"/>
      <c r="S44" s="312"/>
      <c r="T44" s="312"/>
      <c r="U44" s="312"/>
      <c r="V44" s="312"/>
      <c r="W44" s="312"/>
      <c r="X44" s="312"/>
      <c r="Y44" s="312"/>
      <c r="Z44" s="312"/>
      <c r="AA44" s="312"/>
      <c r="AB44" s="312"/>
      <c r="AC44" s="312"/>
      <c r="AD44" s="312"/>
      <c r="AE44" s="373" t="s">
        <v>2191</v>
      </c>
      <c r="AF44" s="355"/>
      <c r="AG44" s="355"/>
      <c r="AI44" s="65"/>
      <c r="AJ44" s="65"/>
      <c r="AK44" s="65"/>
      <c r="AL44" s="65"/>
      <c r="AM44" s="65"/>
      <c r="AN44" s="18"/>
      <c r="AO44" s="329">
        <v>7</v>
      </c>
      <c r="AP44" s="64"/>
      <c r="AQ44" s="319"/>
      <c r="AR44" s="64"/>
      <c r="AS44" s="319"/>
      <c r="AT44" s="64"/>
      <c r="AU44" s="331"/>
      <c r="AV44" s="331"/>
      <c r="AW44" s="331"/>
      <c r="AX44" s="331"/>
      <c r="AY44" s="319"/>
      <c r="AZ44" s="319"/>
      <c r="BA44" s="319"/>
      <c r="BB44" s="64"/>
      <c r="BC44" s="292"/>
      <c r="BD44" s="65"/>
      <c r="BE44" s="65"/>
    </row>
    <row r="45" spans="1:57" ht="3" customHeight="1">
      <c r="A45" s="16"/>
      <c r="G45" s="14"/>
      <c r="H45" s="14"/>
      <c r="I45" s="14"/>
      <c r="J45" s="14"/>
      <c r="K45" s="14"/>
      <c r="L45" s="14"/>
      <c r="M45" s="14"/>
      <c r="N45" s="14"/>
      <c r="O45" s="14"/>
      <c r="P45" s="14"/>
      <c r="Q45" s="14"/>
      <c r="R45" s="14"/>
      <c r="S45" s="14"/>
      <c r="T45" s="14"/>
      <c r="U45" s="14"/>
      <c r="V45" s="14"/>
      <c r="W45" s="14"/>
      <c r="X45" s="14"/>
      <c r="Y45" s="14"/>
      <c r="Z45" s="14"/>
      <c r="AA45" s="14"/>
      <c r="AB45" s="14"/>
      <c r="AC45" s="14"/>
      <c r="AD45" s="14"/>
      <c r="AE45" s="19"/>
      <c r="AF45" s="14"/>
      <c r="AG45" s="14"/>
      <c r="AI45" s="65"/>
      <c r="AJ45" s="65"/>
      <c r="AK45" s="65"/>
      <c r="AL45" s="65"/>
      <c r="AM45" s="65"/>
      <c r="AN45" s="18"/>
      <c r="AO45" s="66"/>
      <c r="AP45" s="64"/>
      <c r="AQ45" s="64"/>
      <c r="AR45" s="64"/>
      <c r="AS45" s="64"/>
      <c r="AT45" s="64"/>
      <c r="AU45" s="65"/>
      <c r="AV45" s="65"/>
      <c r="AW45" s="65"/>
      <c r="AX45" s="65"/>
      <c r="AY45" s="64"/>
      <c r="AZ45" s="64"/>
      <c r="BA45" s="64"/>
      <c r="BB45" s="64"/>
      <c r="BC45" s="65"/>
      <c r="BD45" s="65"/>
      <c r="BE45" s="65"/>
    </row>
    <row r="46" spans="1:57" ht="21" customHeight="1">
      <c r="A46" s="350">
        <f>VLOOKUP($AO$44,'CH'!$A$2:$F$26,2)</f>
        <v>7</v>
      </c>
      <c r="B46" s="351"/>
      <c r="C46" s="351"/>
      <c r="D46" s="351"/>
      <c r="E46" s="351"/>
      <c r="F46" s="117"/>
      <c r="G46" s="356" t="str">
        <f>VLOOKUP($AO$44,'CH'!$A$2:$F$26,3)</f>
        <v>3</v>
      </c>
      <c r="H46" s="357"/>
      <c r="I46" s="358"/>
      <c r="J46" s="116"/>
      <c r="K46" s="356" t="str">
        <f>VLOOKUP($AO$44,'CH'!$A$2:$F$26,4)</f>
        <v>-2</v>
      </c>
      <c r="L46" s="357"/>
      <c r="M46" s="358"/>
      <c r="N46" s="116"/>
      <c r="O46" s="356" t="str">
        <f>VLOOKUP($AO$44,'CH'!$A$2:$F$26,5)</f>
        <v>-1</v>
      </c>
      <c r="P46" s="357"/>
      <c r="Q46" s="358"/>
      <c r="R46" s="116"/>
      <c r="S46" s="116"/>
      <c r="T46" s="116"/>
      <c r="U46" s="116"/>
      <c r="V46" s="116"/>
      <c r="W46" s="116"/>
      <c r="X46" s="116"/>
      <c r="Y46" s="116"/>
      <c r="Z46" s="116"/>
      <c r="AA46" s="116"/>
      <c r="AB46" s="116"/>
      <c r="AC46" s="116"/>
      <c r="AD46" s="116"/>
      <c r="AE46" s="356" t="str">
        <f>VLOOKUP($AO$44,'CH'!$A$2:$F$26,6)</f>
        <v>-</v>
      </c>
      <c r="AF46" s="357"/>
      <c r="AG46" s="358"/>
      <c r="AI46" s="65"/>
      <c r="AJ46" s="65"/>
      <c r="AK46" s="65"/>
      <c r="AL46" s="65"/>
      <c r="AM46" s="65"/>
      <c r="AN46" s="18"/>
      <c r="AO46" s="66"/>
      <c r="AP46" s="64"/>
      <c r="AQ46" s="64"/>
      <c r="AR46" s="64"/>
      <c r="AS46" s="64"/>
      <c r="AT46" s="64"/>
      <c r="AU46" s="65"/>
      <c r="AV46" s="65"/>
      <c r="AW46" s="65"/>
      <c r="AX46" s="65"/>
      <c r="AY46" s="64"/>
      <c r="AZ46" s="64"/>
      <c r="BA46" s="64"/>
      <c r="BB46" s="64"/>
      <c r="BC46" s="65"/>
      <c r="BD46" s="65"/>
      <c r="BE46" s="65"/>
    </row>
    <row r="47" spans="35:57" ht="3" customHeight="1">
      <c r="AI47" s="65"/>
      <c r="AJ47" s="65"/>
      <c r="AK47" s="65"/>
      <c r="AL47" s="65"/>
      <c r="AM47" s="65"/>
      <c r="AN47" s="18"/>
      <c r="AO47" s="66"/>
      <c r="AP47" s="64"/>
      <c r="AQ47" s="64"/>
      <c r="AR47" s="64"/>
      <c r="AS47" s="64"/>
      <c r="AT47" s="64"/>
      <c r="AU47" s="64"/>
      <c r="AV47" s="64"/>
      <c r="AW47" s="64"/>
      <c r="AX47" s="64"/>
      <c r="AY47" s="64"/>
      <c r="AZ47" s="64"/>
      <c r="BA47" s="64"/>
      <c r="BB47" s="64"/>
      <c r="BC47" s="65"/>
      <c r="BD47" s="65"/>
      <c r="BE47" s="65"/>
    </row>
    <row r="48" spans="35:82" s="72" customFormat="1" ht="3" customHeight="1">
      <c r="AI48" s="161"/>
      <c r="AJ48" s="161"/>
      <c r="AK48" s="161"/>
      <c r="AL48" s="161"/>
      <c r="AM48" s="161"/>
      <c r="AN48" s="332"/>
      <c r="AO48" s="333"/>
      <c r="AP48" s="162"/>
      <c r="AQ48" s="162"/>
      <c r="AR48" s="162"/>
      <c r="AS48" s="162"/>
      <c r="AT48" s="161"/>
      <c r="AU48" s="161"/>
      <c r="AV48" s="161"/>
      <c r="AW48" s="162"/>
      <c r="AX48" s="162"/>
      <c r="AY48" s="162"/>
      <c r="AZ48" s="161"/>
      <c r="BA48" s="161"/>
      <c r="BB48" s="161"/>
      <c r="BC48" s="161"/>
      <c r="BD48" s="161"/>
      <c r="BE48" s="161"/>
      <c r="BS48" s="161"/>
      <c r="BT48" s="161"/>
      <c r="BU48" s="161"/>
      <c r="BV48" s="161"/>
      <c r="BW48" s="162"/>
      <c r="BX48" s="161"/>
      <c r="BY48" s="161"/>
      <c r="BZ48" s="161"/>
      <c r="CA48" s="162"/>
      <c r="CB48" s="162"/>
      <c r="CC48" s="162"/>
      <c r="CD48" s="161"/>
    </row>
    <row r="49" spans="1:82" ht="69" customHeight="1">
      <c r="A49" s="381" t="s">
        <v>1278</v>
      </c>
      <c r="B49" s="382"/>
      <c r="C49" s="382"/>
      <c r="D49" s="382"/>
      <c r="E49" s="382"/>
      <c r="F49" s="320"/>
      <c r="G49" s="383" t="s">
        <v>2199</v>
      </c>
      <c r="H49" s="379"/>
      <c r="I49" s="379"/>
      <c r="J49" s="320"/>
      <c r="K49" s="378" t="s">
        <v>921</v>
      </c>
      <c r="L49" s="379"/>
      <c r="M49" s="379"/>
      <c r="N49" s="320"/>
      <c r="O49" s="381" t="s">
        <v>684</v>
      </c>
      <c r="P49" s="355"/>
      <c r="Q49" s="355"/>
      <c r="R49" s="355"/>
      <c r="S49" s="355"/>
      <c r="T49" s="355"/>
      <c r="U49" s="355"/>
      <c r="V49" s="355"/>
      <c r="W49" s="355"/>
      <c r="X49" s="355"/>
      <c r="Y49" s="355"/>
      <c r="Z49" s="355"/>
      <c r="AA49" s="355"/>
      <c r="AB49" s="355"/>
      <c r="AC49" s="355"/>
      <c r="AD49" s="355"/>
      <c r="AE49" s="355"/>
      <c r="AF49" s="355"/>
      <c r="AG49" s="355"/>
      <c r="AI49" s="65"/>
      <c r="AJ49" s="65"/>
      <c r="AK49" s="65"/>
      <c r="AL49" s="65"/>
      <c r="AM49" s="65"/>
      <c r="AN49" s="18"/>
      <c r="AO49" s="66"/>
      <c r="AP49" s="64"/>
      <c r="AQ49" s="63"/>
      <c r="AR49" s="64"/>
      <c r="AS49" s="181">
        <v>4</v>
      </c>
      <c r="AT49" s="64"/>
      <c r="AU49" s="64"/>
      <c r="AV49" s="64"/>
      <c r="AW49" s="64"/>
      <c r="AX49" s="64"/>
      <c r="AY49" s="64"/>
      <c r="AZ49" s="64"/>
      <c r="BA49" s="64"/>
      <c r="BB49" s="64"/>
      <c r="BC49" s="146"/>
      <c r="BD49" s="65"/>
      <c r="BE49" s="65"/>
      <c r="BR49" s="22"/>
      <c r="BS49" s="70"/>
      <c r="BT49" s="65"/>
      <c r="BU49" s="65"/>
      <c r="BV49" s="18"/>
      <c r="BW49" s="18"/>
      <c r="BX49" s="65"/>
      <c r="BY49" s="65"/>
      <c r="BZ49" s="65"/>
      <c r="CA49" s="62"/>
      <c r="CB49" s="18"/>
      <c r="CC49" s="18"/>
      <c r="CD49" s="65"/>
    </row>
    <row r="50" spans="1:82" ht="3" customHeight="1">
      <c r="A50" s="16"/>
      <c r="K50" s="14"/>
      <c r="O50" s="14"/>
      <c r="P50" s="67"/>
      <c r="Q50" s="182">
        <v>14</v>
      </c>
      <c r="R50" s="18"/>
      <c r="S50" s="61"/>
      <c r="U50" s="14"/>
      <c r="V50" s="14"/>
      <c r="W50" s="14"/>
      <c r="AI50" s="65"/>
      <c r="AJ50" s="65"/>
      <c r="AK50" s="65"/>
      <c r="AL50" s="65"/>
      <c r="AM50" s="65"/>
      <c r="AN50" s="18"/>
      <c r="AO50" s="66"/>
      <c r="AP50" s="64"/>
      <c r="AQ50" s="319"/>
      <c r="AR50" s="64"/>
      <c r="AS50" s="64"/>
      <c r="AT50" s="64"/>
      <c r="AU50" s="64"/>
      <c r="AV50" s="64"/>
      <c r="AW50" s="64"/>
      <c r="AX50" s="64"/>
      <c r="AY50" s="64"/>
      <c r="AZ50" s="64"/>
      <c r="BA50" s="64"/>
      <c r="BB50" s="64"/>
      <c r="BC50" s="146"/>
      <c r="BD50" s="65"/>
      <c r="BE50" s="65"/>
      <c r="BR50" s="21"/>
      <c r="BS50" s="146"/>
      <c r="BT50" s="65"/>
      <c r="BU50" s="65"/>
      <c r="BV50" s="65"/>
      <c r="BW50" s="65"/>
      <c r="BX50" s="65"/>
      <c r="BY50" s="65"/>
      <c r="BZ50" s="65"/>
      <c r="CA50" s="18"/>
      <c r="CB50" s="18"/>
      <c r="CC50" s="18"/>
      <c r="CD50" s="65"/>
    </row>
    <row r="51" spans="1:82" ht="21" customHeight="1">
      <c r="A51" s="365" t="s">
        <v>2194</v>
      </c>
      <c r="B51" s="375"/>
      <c r="C51" s="375"/>
      <c r="D51" s="375"/>
      <c r="E51" s="376"/>
      <c r="G51" s="377">
        <f>VLOOKUP($AS$49,'ECKDAT allg'!$C$4:$I$32,3)</f>
        <v>11</v>
      </c>
      <c r="H51" s="384"/>
      <c r="I51" s="385"/>
      <c r="K51" s="380" t="str">
        <f>IF(O30=0," ",O30)</f>
        <v>-4</v>
      </c>
      <c r="L51" s="375"/>
      <c r="M51" s="376"/>
      <c r="O51" s="354" t="str">
        <f>VLOOKUP($Q$50,Fertigkeiten!$A$4:$D$28,3)</f>
        <v>Navigator</v>
      </c>
      <c r="P51" s="347"/>
      <c r="Q51" s="347"/>
      <c r="R51" s="347"/>
      <c r="S51" s="347"/>
      <c r="T51" s="344"/>
      <c r="U51" s="344"/>
      <c r="V51" s="345"/>
      <c r="W51" s="345"/>
      <c r="X51" s="345"/>
      <c r="Y51" s="345"/>
      <c r="Z51" s="345"/>
      <c r="AA51" s="345"/>
      <c r="AB51" s="345"/>
      <c r="AC51" s="345"/>
      <c r="AD51" s="345"/>
      <c r="AE51" s="345"/>
      <c r="AF51" s="345"/>
      <c r="AG51" s="346"/>
      <c r="AI51" s="65"/>
      <c r="AJ51" s="65"/>
      <c r="AK51" s="65"/>
      <c r="AL51" s="65"/>
      <c r="AM51" s="65"/>
      <c r="AN51" s="18"/>
      <c r="AO51" s="66"/>
      <c r="AP51" s="64"/>
      <c r="AQ51" s="18"/>
      <c r="AR51" s="64"/>
      <c r="AS51" s="18"/>
      <c r="AT51" s="64"/>
      <c r="AU51" s="64"/>
      <c r="AV51" s="64"/>
      <c r="AW51" s="64"/>
      <c r="AX51" s="64"/>
      <c r="AY51" s="64"/>
      <c r="AZ51" s="64"/>
      <c r="BA51" s="64"/>
      <c r="BB51" s="64"/>
      <c r="BC51" s="65"/>
      <c r="BD51" s="65"/>
      <c r="BE51" s="65"/>
      <c r="BS51" s="69"/>
      <c r="BT51" s="65"/>
      <c r="BU51" s="65"/>
      <c r="BV51" s="18"/>
      <c r="BW51" s="18"/>
      <c r="BX51" s="65"/>
      <c r="BY51" s="65"/>
      <c r="BZ51" s="65"/>
      <c r="CA51" s="18"/>
      <c r="CB51" s="68"/>
      <c r="CC51" s="18"/>
      <c r="CD51" s="65"/>
    </row>
    <row r="52" spans="1:82" ht="3" customHeight="1">
      <c r="A52" s="18"/>
      <c r="G52" s="115"/>
      <c r="K52" s="12"/>
      <c r="O52" s="121"/>
      <c r="P52" s="17"/>
      <c r="Q52" s="123"/>
      <c r="R52" s="123"/>
      <c r="S52" s="124"/>
      <c r="T52" s="124"/>
      <c r="U52" s="124"/>
      <c r="V52" s="124"/>
      <c r="W52" s="124"/>
      <c r="X52" s="124"/>
      <c r="Y52" s="124"/>
      <c r="Z52" s="124"/>
      <c r="AA52" s="124"/>
      <c r="AB52" s="124"/>
      <c r="AC52" s="124"/>
      <c r="AD52" s="124"/>
      <c r="AE52" s="124"/>
      <c r="AF52" s="124"/>
      <c r="AG52" s="122"/>
      <c r="AI52" s="65"/>
      <c r="AJ52" s="65"/>
      <c r="AK52" s="65"/>
      <c r="AL52" s="65"/>
      <c r="AM52" s="65"/>
      <c r="AN52" s="18"/>
      <c r="AO52" s="66"/>
      <c r="AP52" s="64"/>
      <c r="AQ52" s="18"/>
      <c r="AR52" s="64"/>
      <c r="AS52" s="18"/>
      <c r="AT52" s="64"/>
      <c r="AU52" s="64"/>
      <c r="AV52" s="64"/>
      <c r="AW52" s="64"/>
      <c r="AX52" s="64"/>
      <c r="AY52" s="64"/>
      <c r="AZ52" s="64"/>
      <c r="BA52" s="64"/>
      <c r="BB52" s="64"/>
      <c r="BC52" s="65"/>
      <c r="BD52" s="65"/>
      <c r="BE52" s="65"/>
      <c r="BS52" s="61"/>
      <c r="BT52" s="65"/>
      <c r="BU52" s="18"/>
      <c r="BV52" s="18"/>
      <c r="BW52" s="18"/>
      <c r="BX52" s="65"/>
      <c r="BY52" s="65"/>
      <c r="BZ52" s="65"/>
      <c r="CA52" s="18"/>
      <c r="CB52" s="68"/>
      <c r="CC52" s="18"/>
      <c r="CD52" s="65"/>
    </row>
    <row r="53" spans="1:82" ht="21" customHeight="1">
      <c r="A53" s="365" t="s">
        <v>2195</v>
      </c>
      <c r="B53" s="375"/>
      <c r="C53" s="375"/>
      <c r="D53" s="375"/>
      <c r="E53" s="376"/>
      <c r="G53" s="377">
        <f>VLOOKUP($AS$49,'ECKDAT allg'!$C$4:$I$32,4)</f>
        <v>13</v>
      </c>
      <c r="H53" s="384"/>
      <c r="I53" s="385"/>
      <c r="K53" s="374" t="s">
        <v>922</v>
      </c>
      <c r="L53" s="375"/>
      <c r="M53" s="376"/>
      <c r="O53" s="322" t="str">
        <f>VLOOKUP($Q$50,Fertigkeiten!$A$4:$D$28,4)</f>
        <v>Astronomie, Navigation, Segeln, Schwimmen</v>
      </c>
      <c r="P53" s="323"/>
      <c r="Q53" s="323"/>
      <c r="R53" s="323"/>
      <c r="S53" s="323"/>
      <c r="T53" s="323"/>
      <c r="U53" s="323"/>
      <c r="V53" s="351"/>
      <c r="W53" s="351"/>
      <c r="X53" s="351"/>
      <c r="Y53" s="351"/>
      <c r="Z53" s="351"/>
      <c r="AA53" s="351"/>
      <c r="AB53" s="351"/>
      <c r="AC53" s="351"/>
      <c r="AD53" s="351"/>
      <c r="AE53" s="351"/>
      <c r="AF53" s="351"/>
      <c r="AG53" s="324"/>
      <c r="AI53" s="65"/>
      <c r="AJ53" s="65"/>
      <c r="AK53" s="65"/>
      <c r="AL53" s="65"/>
      <c r="AM53" s="65"/>
      <c r="AN53" s="18"/>
      <c r="AO53" s="66"/>
      <c r="AP53" s="64"/>
      <c r="AQ53" s="18"/>
      <c r="AR53" s="64"/>
      <c r="AS53" s="18"/>
      <c r="AT53" s="64"/>
      <c r="AU53" s="64"/>
      <c r="AV53" s="64"/>
      <c r="AW53" s="64"/>
      <c r="AX53" s="64"/>
      <c r="AY53" s="64"/>
      <c r="AZ53" s="64"/>
      <c r="BA53" s="64"/>
      <c r="BB53" s="64"/>
      <c r="BC53" s="120"/>
      <c r="BD53" s="65"/>
      <c r="BE53" s="65"/>
      <c r="BR53" s="120"/>
      <c r="BS53" s="61"/>
      <c r="BT53" s="65"/>
      <c r="BU53" s="65"/>
      <c r="BV53" s="18"/>
      <c r="BW53" s="18"/>
      <c r="BX53" s="65"/>
      <c r="BY53" s="65"/>
      <c r="BZ53" s="65"/>
      <c r="CA53" s="18"/>
      <c r="CB53" s="68"/>
      <c r="CC53" s="18"/>
      <c r="CD53" s="65"/>
    </row>
    <row r="54" spans="1:82" ht="3" customHeight="1">
      <c r="A54" s="18"/>
      <c r="G54" s="118"/>
      <c r="AI54" s="65"/>
      <c r="AJ54" s="65"/>
      <c r="AK54" s="65"/>
      <c r="AL54" s="65"/>
      <c r="AM54" s="65"/>
      <c r="AN54" s="18"/>
      <c r="AO54" s="66"/>
      <c r="AP54" s="64"/>
      <c r="AQ54" s="18"/>
      <c r="AR54" s="64"/>
      <c r="AS54" s="18"/>
      <c r="AT54" s="67"/>
      <c r="AU54" s="18"/>
      <c r="AV54" s="18"/>
      <c r="AW54" s="68"/>
      <c r="AX54" s="64"/>
      <c r="AY54" s="64"/>
      <c r="AZ54" s="65"/>
      <c r="BA54" s="65"/>
      <c r="BB54" s="65"/>
      <c r="BC54" s="65"/>
      <c r="BD54" s="65"/>
      <c r="BE54" s="65"/>
      <c r="BS54" s="61"/>
      <c r="BT54" s="65"/>
      <c r="BU54" s="18"/>
      <c r="BV54" s="18"/>
      <c r="BW54" s="18"/>
      <c r="BX54" s="65"/>
      <c r="BY54" s="65"/>
      <c r="BZ54" s="65"/>
      <c r="CA54" s="18"/>
      <c r="CB54" s="18"/>
      <c r="CC54" s="18"/>
      <c r="CD54" s="65"/>
    </row>
    <row r="55" spans="1:82" ht="21" customHeight="1">
      <c r="A55" s="365" t="s">
        <v>2196</v>
      </c>
      <c r="B55" s="375"/>
      <c r="C55" s="375"/>
      <c r="D55" s="375"/>
      <c r="E55" s="376"/>
      <c r="G55" s="377">
        <f>VLOOKUP($AS$49,'ECKDAT allg'!$C$4:$I$32,5)</f>
        <v>12</v>
      </c>
      <c r="H55" s="384"/>
      <c r="I55" s="385"/>
      <c r="K55" s="377" t="str">
        <f>IF(G42&lt;&gt;" ",G42," ")</f>
        <v>0</v>
      </c>
      <c r="L55" s="375"/>
      <c r="M55" s="376"/>
      <c r="O55" s="353" t="s">
        <v>688</v>
      </c>
      <c r="P55" s="382"/>
      <c r="Q55" s="382"/>
      <c r="R55" s="382"/>
      <c r="S55" s="382"/>
      <c r="T55" s="382"/>
      <c r="U55" s="382"/>
      <c r="V55" s="382"/>
      <c r="W55" s="382"/>
      <c r="X55" s="382"/>
      <c r="Y55" s="382"/>
      <c r="Z55" s="382"/>
      <c r="AA55" s="382"/>
      <c r="AB55" s="382"/>
      <c r="AC55" s="382"/>
      <c r="AD55" s="382"/>
      <c r="AE55" s="382"/>
      <c r="AF55" s="382"/>
      <c r="AG55" s="382"/>
      <c r="AI55" s="65"/>
      <c r="AJ55" s="65"/>
      <c r="AK55" s="65"/>
      <c r="AL55" s="65"/>
      <c r="AM55" s="65"/>
      <c r="AN55" s="18"/>
      <c r="AO55" s="66"/>
      <c r="AP55" s="64"/>
      <c r="AQ55" s="18"/>
      <c r="AR55" s="64"/>
      <c r="AS55" s="18"/>
      <c r="AT55" s="64"/>
      <c r="AU55" s="18"/>
      <c r="AV55" s="64"/>
      <c r="AW55" s="221"/>
      <c r="AX55" s="221"/>
      <c r="AY55" s="221"/>
      <c r="AZ55" s="221"/>
      <c r="BA55" s="65"/>
      <c r="BB55" s="65"/>
      <c r="BC55" s="65"/>
      <c r="BD55" s="65"/>
      <c r="BE55" s="65"/>
      <c r="BS55" s="61"/>
      <c r="BT55" s="65"/>
      <c r="BU55" s="18"/>
      <c r="BV55" s="18"/>
      <c r="BW55" s="18"/>
      <c r="BX55" s="65"/>
      <c r="BY55" s="65"/>
      <c r="BZ55" s="65"/>
      <c r="CA55" s="18"/>
      <c r="CB55" s="18"/>
      <c r="CC55" s="18"/>
      <c r="CD55" s="65"/>
    </row>
    <row r="56" spans="1:82" ht="3" customHeight="1">
      <c r="A56" s="18"/>
      <c r="G56" s="115"/>
      <c r="AI56" s="65"/>
      <c r="AJ56" s="65"/>
      <c r="AK56" s="65"/>
      <c r="AL56" s="65"/>
      <c r="AM56" s="65"/>
      <c r="AN56" s="18"/>
      <c r="AO56" s="66"/>
      <c r="AP56" s="64"/>
      <c r="AQ56" s="18"/>
      <c r="AR56" s="64"/>
      <c r="AS56" s="18"/>
      <c r="AT56" s="18"/>
      <c r="AU56" s="18"/>
      <c r="AV56" s="221"/>
      <c r="AW56" s="221"/>
      <c r="AX56" s="221"/>
      <c r="AY56" s="221"/>
      <c r="AZ56" s="221"/>
      <c r="BA56" s="65"/>
      <c r="BB56" s="65"/>
      <c r="BC56" s="65"/>
      <c r="BD56" s="65"/>
      <c r="BE56" s="65"/>
      <c r="BS56" s="61"/>
      <c r="BT56" s="65"/>
      <c r="BU56" s="18"/>
      <c r="BV56" s="18"/>
      <c r="BW56" s="18"/>
      <c r="BX56" s="65"/>
      <c r="BY56" s="65"/>
      <c r="BZ56" s="65"/>
      <c r="CA56" s="18"/>
      <c r="CB56" s="18"/>
      <c r="CC56" s="18"/>
      <c r="CD56" s="65"/>
    </row>
    <row r="57" spans="1:82" ht="21" customHeight="1">
      <c r="A57" s="377" t="s">
        <v>2197</v>
      </c>
      <c r="B57" s="375"/>
      <c r="C57" s="375"/>
      <c r="D57" s="375"/>
      <c r="E57" s="376"/>
      <c r="G57" s="377">
        <f>VLOOKUP($AS$49,'ECKDAT allg'!$C$4:$I$32,6)</f>
        <v>13</v>
      </c>
      <c r="H57" s="384"/>
      <c r="I57" s="385"/>
      <c r="K57" s="374" t="s">
        <v>2376</v>
      </c>
      <c r="L57" s="375"/>
      <c r="M57" s="376"/>
      <c r="O57" s="378" t="s">
        <v>1882</v>
      </c>
      <c r="P57" s="378"/>
      <c r="Q57" s="378"/>
      <c r="R57" s="379"/>
      <c r="S57" s="379"/>
      <c r="T57" s="379"/>
      <c r="U57" s="379"/>
      <c r="W57" s="359" t="s">
        <v>1879</v>
      </c>
      <c r="X57" s="382"/>
      <c r="Y57" s="382"/>
      <c r="AA57" s="325" t="s">
        <v>1880</v>
      </c>
      <c r="AB57" s="379"/>
      <c r="AC57" s="379"/>
      <c r="AE57" s="378" t="s">
        <v>1881</v>
      </c>
      <c r="AF57" s="379"/>
      <c r="AG57" s="379"/>
      <c r="AI57" s="65"/>
      <c r="AJ57" s="65"/>
      <c r="AK57" s="65"/>
      <c r="AL57" s="65"/>
      <c r="AM57" s="65"/>
      <c r="AN57" s="18"/>
      <c r="AO57" s="66"/>
      <c r="AP57" s="64"/>
      <c r="AQ57" s="18"/>
      <c r="AR57" s="64"/>
      <c r="AS57" s="18"/>
      <c r="AT57" s="64"/>
      <c r="AU57" s="64"/>
      <c r="AV57" s="64"/>
      <c r="AW57" s="161"/>
      <c r="AX57" s="64"/>
      <c r="AY57" s="159"/>
      <c r="AZ57" s="64"/>
      <c r="BA57" s="162"/>
      <c r="BB57" s="64"/>
      <c r="BC57" s="65"/>
      <c r="BD57" s="65"/>
      <c r="BE57" s="65"/>
      <c r="BS57" s="61"/>
      <c r="BT57" s="65"/>
      <c r="BU57" s="18"/>
      <c r="BV57" s="18"/>
      <c r="BW57" s="18"/>
      <c r="BX57" s="65"/>
      <c r="BY57" s="65"/>
      <c r="BZ57" s="65"/>
      <c r="CA57" s="18"/>
      <c r="CB57" s="18"/>
      <c r="CC57" s="18"/>
      <c r="CD57" s="65"/>
    </row>
    <row r="58" spans="1:82" ht="3" customHeight="1">
      <c r="A58" s="18"/>
      <c r="G58" s="115"/>
      <c r="AA58" s="65"/>
      <c r="AI58" s="65"/>
      <c r="AJ58" s="65"/>
      <c r="AK58" s="65"/>
      <c r="AL58" s="65"/>
      <c r="AM58" s="65"/>
      <c r="AN58" s="18"/>
      <c r="AO58" s="66"/>
      <c r="AP58" s="64"/>
      <c r="AQ58" s="18"/>
      <c r="AR58" s="64"/>
      <c r="AS58" s="18"/>
      <c r="AT58" s="64"/>
      <c r="AU58" s="64"/>
      <c r="AV58" s="64"/>
      <c r="AW58" s="65"/>
      <c r="AX58" s="64"/>
      <c r="AY58" s="64"/>
      <c r="AZ58" s="64"/>
      <c r="BA58" s="65"/>
      <c r="BB58" s="64"/>
      <c r="BC58" s="65"/>
      <c r="BD58" s="65"/>
      <c r="BE58" s="65"/>
      <c r="BS58" s="18"/>
      <c r="BT58" s="68"/>
      <c r="BU58" s="68"/>
      <c r="BV58" s="18"/>
      <c r="BW58" s="18"/>
      <c r="BX58" s="65"/>
      <c r="BY58" s="65"/>
      <c r="BZ58" s="65"/>
      <c r="CA58" s="18"/>
      <c r="CB58" s="18"/>
      <c r="CC58" s="18"/>
      <c r="CD58" s="65"/>
    </row>
    <row r="59" spans="1:82" ht="21" customHeight="1">
      <c r="A59" s="377" t="s">
        <v>2198</v>
      </c>
      <c r="B59" s="375"/>
      <c r="C59" s="375"/>
      <c r="D59" s="375"/>
      <c r="E59" s="376"/>
      <c r="G59" s="377">
        <f>VLOOKUP($AS$49,'ECKDAT allg'!$C$4:$I$32,7)</f>
        <v>14</v>
      </c>
      <c r="H59" s="384"/>
      <c r="I59" s="385"/>
      <c r="K59" s="377" t="str">
        <f>S34</f>
        <v>0</v>
      </c>
      <c r="L59" s="375"/>
      <c r="M59" s="376"/>
      <c r="O59" s="377" t="str">
        <f>VLOOKUP(AW59,Fertigkeiten!$A$31:$F$178,3)</f>
        <v>Altertumskunde</v>
      </c>
      <c r="P59" s="357"/>
      <c r="Q59" s="357"/>
      <c r="R59" s="384"/>
      <c r="S59" s="384"/>
      <c r="T59" s="384"/>
      <c r="U59" s="385"/>
      <c r="W59" s="377" t="str">
        <f>IF(VLOOKUP(AW59,Fertigkeiten!$A$31:$H$178,7)="---"," ",VLOOKUP(AW59,Fertigkeiten!$A$31:$H$178,7))</f>
        <v>IN</v>
      </c>
      <c r="X59" s="384"/>
      <c r="Y59" s="385"/>
      <c r="AA59" s="377">
        <f>IF(VLOOKUP(AW59,Fertigkeiten!$A$31:$H$178,6)="---"," ",VLOOKUP(AW59,Fertigkeiten!$A$31:$H$178,6))</f>
        <v>-1</v>
      </c>
      <c r="AB59" s="384"/>
      <c r="AC59" s="385"/>
      <c r="AE59" s="377">
        <f>IF(VLOOKUP(AW59,Fertigkeiten!$A$31:$H$178,4)="---"," ",VLOOKUP(AW59,Fertigkeiten!$A$31:$H$178,4))</f>
        <v>1</v>
      </c>
      <c r="AF59" s="384"/>
      <c r="AG59" s="385"/>
      <c r="AI59" s="65"/>
      <c r="AJ59" s="65"/>
      <c r="AK59" s="65"/>
      <c r="AL59" s="65"/>
      <c r="AM59" s="65"/>
      <c r="AN59" s="18"/>
      <c r="AO59" s="66"/>
      <c r="AP59" s="64"/>
      <c r="AQ59" s="18"/>
      <c r="AR59" s="64"/>
      <c r="AS59" s="18"/>
      <c r="AT59" s="64"/>
      <c r="AU59" s="64"/>
      <c r="AV59" s="64"/>
      <c r="AW59" s="334">
        <v>2</v>
      </c>
      <c r="AX59" s="64"/>
      <c r="AY59" s="80"/>
      <c r="AZ59" s="64"/>
      <c r="BA59" s="65"/>
      <c r="BB59" s="64"/>
      <c r="BC59" s="65"/>
      <c r="BD59" s="65"/>
      <c r="BE59" s="65"/>
      <c r="BS59" s="61"/>
      <c r="BT59" s="18"/>
      <c r="BU59" s="18"/>
      <c r="BV59" s="18"/>
      <c r="BW59" s="18"/>
      <c r="BX59" s="65"/>
      <c r="BY59" s="65"/>
      <c r="BZ59" s="65"/>
      <c r="CA59" s="18"/>
      <c r="CB59" s="18"/>
      <c r="CC59" s="18"/>
      <c r="CD59" s="65"/>
    </row>
    <row r="60" spans="15:82" ht="3" customHeight="1">
      <c r="O60" s="18"/>
      <c r="P60" s="18"/>
      <c r="Q60" s="18"/>
      <c r="W60" s="64"/>
      <c r="AA60" s="65"/>
      <c r="AI60" s="65"/>
      <c r="AJ60" s="65"/>
      <c r="AK60" s="65"/>
      <c r="AL60" s="65"/>
      <c r="AM60" s="65"/>
      <c r="AN60" s="18"/>
      <c r="AO60" s="66"/>
      <c r="AP60" s="18"/>
      <c r="AQ60" s="18"/>
      <c r="AR60" s="65"/>
      <c r="AS60" s="18"/>
      <c r="AT60" s="64"/>
      <c r="AU60" s="64"/>
      <c r="AV60" s="64"/>
      <c r="AW60" s="18"/>
      <c r="AX60" s="64"/>
      <c r="AY60" s="65"/>
      <c r="AZ60" s="64"/>
      <c r="BA60" s="65"/>
      <c r="BB60" s="64"/>
      <c r="BC60" s="65"/>
      <c r="BD60" s="65"/>
      <c r="BE60" s="65"/>
      <c r="BS60" s="61"/>
      <c r="BT60" s="65"/>
      <c r="BU60" s="18"/>
      <c r="BV60" s="18"/>
      <c r="BW60" s="18"/>
      <c r="BX60" s="65"/>
      <c r="BY60" s="65"/>
      <c r="BZ60" s="65"/>
      <c r="CA60" s="18"/>
      <c r="CB60" s="18"/>
      <c r="CC60" s="18"/>
      <c r="CD60" s="65"/>
    </row>
    <row r="61" spans="1:82" ht="21" customHeight="1">
      <c r="A61" s="353" t="s">
        <v>992</v>
      </c>
      <c r="B61" s="355"/>
      <c r="C61" s="355"/>
      <c r="D61" s="355"/>
      <c r="E61" s="355"/>
      <c r="F61" s="382"/>
      <c r="G61" s="382"/>
      <c r="H61" s="382"/>
      <c r="I61" s="382"/>
      <c r="J61" s="382"/>
      <c r="K61" s="382"/>
      <c r="L61" s="382"/>
      <c r="M61" s="382"/>
      <c r="O61" s="377" t="str">
        <f>VLOOKUP(AW61,Fertigkeiten!$A$31:$F$178,3)</f>
        <v>Balancieren</v>
      </c>
      <c r="P61" s="357"/>
      <c r="Q61" s="357"/>
      <c r="R61" s="384"/>
      <c r="S61" s="384"/>
      <c r="T61" s="384"/>
      <c r="U61" s="385"/>
      <c r="W61" s="377" t="str">
        <f>IF(VLOOKUP(AW61,Fertigkeiten!$A$31:$H$178,7)="---"," ",VLOOKUP(AW61,Fertigkeiten!$A$31:$H$178,7))</f>
        <v>GE</v>
      </c>
      <c r="X61" s="384"/>
      <c r="Y61" s="385"/>
      <c r="AA61" s="377" t="str">
        <f>IF(VLOOKUP(AW61,Fertigkeiten!$A$31:$H$178,6)="---"," ",VLOOKUP(AW61,Fertigkeiten!$A$31:$H$178,6))</f>
        <v>0</v>
      </c>
      <c r="AB61" s="384"/>
      <c r="AC61" s="385"/>
      <c r="AE61" s="377">
        <f>IF(VLOOKUP(AW61,Fertigkeiten!$A$31:$H$178,4)="---"," ",VLOOKUP(AW61,Fertigkeiten!$A$31:$H$178,4))</f>
        <v>1</v>
      </c>
      <c r="AF61" s="384"/>
      <c r="AG61" s="385"/>
      <c r="AI61" s="65"/>
      <c r="AJ61" s="65"/>
      <c r="AK61" s="65"/>
      <c r="AL61" s="65"/>
      <c r="AM61" s="65"/>
      <c r="AN61" s="18"/>
      <c r="AO61" s="66"/>
      <c r="AP61" s="64"/>
      <c r="AQ61" s="64"/>
      <c r="AR61" s="64"/>
      <c r="AS61" s="18"/>
      <c r="AT61" s="64"/>
      <c r="AU61" s="64"/>
      <c r="AV61" s="64"/>
      <c r="AW61" s="183">
        <v>9</v>
      </c>
      <c r="AX61" s="64"/>
      <c r="AY61" s="80"/>
      <c r="AZ61" s="64"/>
      <c r="BA61" s="65"/>
      <c r="BB61" s="64"/>
      <c r="BC61" s="65"/>
      <c r="BD61" s="65"/>
      <c r="BE61" s="65"/>
      <c r="BS61" s="61"/>
      <c r="BT61" s="65"/>
      <c r="BU61" s="18"/>
      <c r="BV61" s="18"/>
      <c r="BW61" s="18"/>
      <c r="BX61" s="65"/>
      <c r="BY61" s="65"/>
      <c r="BZ61" s="65"/>
      <c r="CA61" s="18"/>
      <c r="CB61" s="18"/>
      <c r="CC61" s="18"/>
      <c r="CD61" s="65"/>
    </row>
    <row r="62" spans="1:82" ht="3" customHeight="1">
      <c r="A62" s="18"/>
      <c r="B62" s="66"/>
      <c r="C62" s="18"/>
      <c r="D62" s="18"/>
      <c r="E62" s="65"/>
      <c r="O62" s="18"/>
      <c r="P62" s="18"/>
      <c r="Q62" s="14"/>
      <c r="W62" s="65"/>
      <c r="AA62" s="65"/>
      <c r="AI62" s="65"/>
      <c r="AJ62" s="65"/>
      <c r="AK62" s="65"/>
      <c r="AL62" s="65"/>
      <c r="AM62" s="65"/>
      <c r="AN62" s="18"/>
      <c r="AO62" s="66"/>
      <c r="AP62" s="64"/>
      <c r="AQ62" s="64"/>
      <c r="AR62" s="64"/>
      <c r="AS62" s="18"/>
      <c r="AT62" s="64"/>
      <c r="AU62" s="64"/>
      <c r="AV62" s="64"/>
      <c r="AW62" s="65"/>
      <c r="AX62" s="64"/>
      <c r="AY62" s="64"/>
      <c r="AZ62" s="64"/>
      <c r="BA62" s="65"/>
      <c r="BB62" s="64"/>
      <c r="BC62" s="65"/>
      <c r="BD62" s="65"/>
      <c r="BE62" s="65"/>
      <c r="BS62" s="18"/>
      <c r="BT62" s="68"/>
      <c r="BU62" s="68"/>
      <c r="BV62" s="18"/>
      <c r="BW62" s="18"/>
      <c r="BX62" s="65"/>
      <c r="BY62" s="65"/>
      <c r="BZ62" s="65"/>
      <c r="CA62" s="18"/>
      <c r="CB62" s="18"/>
      <c r="CC62" s="18"/>
      <c r="CD62" s="65"/>
    </row>
    <row r="63" spans="1:82" ht="21" customHeight="1">
      <c r="A63" s="377" t="s">
        <v>497</v>
      </c>
      <c r="B63" s="375"/>
      <c r="C63" s="375"/>
      <c r="D63" s="375"/>
      <c r="E63" s="375"/>
      <c r="F63" s="384"/>
      <c r="G63" s="384"/>
      <c r="H63" s="384"/>
      <c r="I63" s="384"/>
      <c r="J63" s="384"/>
      <c r="K63" s="384"/>
      <c r="L63" s="384"/>
      <c r="M63" s="385"/>
      <c r="O63" s="377" t="str">
        <f>VLOOKUP(AW63,Fertigkeiten!$A$31:$F$178,3)</f>
        <v>Blind kämpfen</v>
      </c>
      <c r="P63" s="357"/>
      <c r="Q63" s="357"/>
      <c r="R63" s="384"/>
      <c r="S63" s="384"/>
      <c r="T63" s="384"/>
      <c r="U63" s="385"/>
      <c r="W63" s="377" t="str">
        <f>IF(VLOOKUP(AW63,Fertigkeiten!$A$31:$H$178,7)="---"," ",VLOOKUP(AW63,Fertigkeiten!$A$31:$H$178,7))</f>
        <v> </v>
      </c>
      <c r="X63" s="384"/>
      <c r="Y63" s="385"/>
      <c r="AA63" s="377" t="str">
        <f>IF(VLOOKUP(AW63,Fertigkeiten!$A$31:$H$178,6)="---"," ",VLOOKUP(AW63,Fertigkeiten!$A$31:$H$178,6))</f>
        <v> </v>
      </c>
      <c r="AB63" s="384"/>
      <c r="AC63" s="385"/>
      <c r="AE63" s="377">
        <f>IF(VLOOKUP(AW63,Fertigkeiten!$A$31:$H$178,4)="---"," ",VLOOKUP(AW63,Fertigkeiten!$A$31:$H$178,4))</f>
        <v>2</v>
      </c>
      <c r="AF63" s="384"/>
      <c r="AG63" s="385"/>
      <c r="AI63" s="65"/>
      <c r="AJ63" s="65"/>
      <c r="AK63" s="65"/>
      <c r="AL63" s="65"/>
      <c r="AM63" s="65"/>
      <c r="AN63" s="18"/>
      <c r="AO63" s="66"/>
      <c r="AP63" s="64"/>
      <c r="AQ63" s="64"/>
      <c r="AR63" s="64"/>
      <c r="AS63" s="18"/>
      <c r="AT63" s="64"/>
      <c r="AU63" s="64"/>
      <c r="AV63" s="64"/>
      <c r="AW63" s="334">
        <v>19</v>
      </c>
      <c r="AX63" s="64"/>
      <c r="AY63" s="80"/>
      <c r="AZ63" s="64"/>
      <c r="BA63" s="65"/>
      <c r="BB63" s="64"/>
      <c r="BC63" s="65"/>
      <c r="BD63" s="65"/>
      <c r="BE63" s="65"/>
      <c r="BS63" s="61"/>
      <c r="BT63" s="18"/>
      <c r="BU63" s="18"/>
      <c r="BV63" s="18"/>
      <c r="BW63" s="18"/>
      <c r="BX63" s="65"/>
      <c r="BY63" s="65"/>
      <c r="BZ63" s="65"/>
      <c r="CA63" s="18"/>
      <c r="CB63" s="18"/>
      <c r="CC63" s="18"/>
      <c r="CD63" s="65"/>
    </row>
    <row r="64" spans="1:82" ht="3" customHeight="1">
      <c r="A64" s="18"/>
      <c r="B64" s="66"/>
      <c r="C64" s="18"/>
      <c r="D64" s="18"/>
      <c r="E64" s="65"/>
      <c r="O64" s="18"/>
      <c r="P64" s="18"/>
      <c r="Q64" s="18"/>
      <c r="W64" s="64"/>
      <c r="AA64" s="65"/>
      <c r="AI64" s="65"/>
      <c r="AJ64" s="65"/>
      <c r="AK64" s="65"/>
      <c r="AL64" s="65"/>
      <c r="AM64" s="65"/>
      <c r="AN64" s="18"/>
      <c r="AO64" s="66"/>
      <c r="AP64" s="64"/>
      <c r="AQ64" s="64"/>
      <c r="AR64" s="64"/>
      <c r="AS64" s="18"/>
      <c r="AT64" s="64"/>
      <c r="AU64" s="64"/>
      <c r="AV64" s="64"/>
      <c r="AW64" s="18"/>
      <c r="AX64" s="64"/>
      <c r="AY64" s="65"/>
      <c r="AZ64" s="64"/>
      <c r="BA64" s="65"/>
      <c r="BB64" s="64"/>
      <c r="BC64" s="65"/>
      <c r="BD64" s="65"/>
      <c r="BE64" s="65"/>
      <c r="BS64" s="61"/>
      <c r="BT64" s="65"/>
      <c r="BU64" s="18"/>
      <c r="BV64" s="18"/>
      <c r="BW64" s="18"/>
      <c r="BX64" s="65"/>
      <c r="BY64" s="65"/>
      <c r="BZ64" s="65"/>
      <c r="CA64" s="18"/>
      <c r="CB64" s="18"/>
      <c r="CC64" s="18"/>
      <c r="CD64" s="65"/>
    </row>
    <row r="65" spans="1:82" ht="21" customHeight="1">
      <c r="A65" s="377" t="s">
        <v>498</v>
      </c>
      <c r="B65" s="375"/>
      <c r="C65" s="375"/>
      <c r="D65" s="375"/>
      <c r="E65" s="375"/>
      <c r="F65" s="384"/>
      <c r="G65" s="384"/>
      <c r="H65" s="384"/>
      <c r="I65" s="384"/>
      <c r="J65" s="384"/>
      <c r="K65" s="384"/>
      <c r="L65" s="384"/>
      <c r="M65" s="385"/>
      <c r="O65" s="377" t="str">
        <f>VLOOKUP(AW65,Fertigkeiten!$A$31:$F$178,3)</f>
        <v>Reiten (am Boden)</v>
      </c>
      <c r="P65" s="357"/>
      <c r="Q65" s="357"/>
      <c r="R65" s="384"/>
      <c r="S65" s="384"/>
      <c r="T65" s="384"/>
      <c r="U65" s="385"/>
      <c r="W65" s="377" t="str">
        <f>IF(VLOOKUP(AW65,Fertigkeiten!$A$31:$H$178,7)="---"," ",VLOOKUP(AW65,Fertigkeiten!$A$31:$H$178,7))</f>
        <v>WE</v>
      </c>
      <c r="X65" s="384"/>
      <c r="Y65" s="385"/>
      <c r="AA65" s="377" t="str">
        <f>IF(VLOOKUP(AW65,Fertigkeiten!$A$31:$H$178,6)="---"," ",VLOOKUP(AW65,Fertigkeiten!$A$31:$H$178,6))</f>
        <v>+3</v>
      </c>
      <c r="AB65" s="384"/>
      <c r="AC65" s="385"/>
      <c r="AE65" s="377">
        <f>IF(VLOOKUP(AW65,Fertigkeiten!$A$31:$H$178,4)="---"," ",VLOOKUP(AW65,Fertigkeiten!$A$31:$H$178,4))</f>
        <v>1</v>
      </c>
      <c r="AF65" s="384"/>
      <c r="AG65" s="385"/>
      <c r="AI65" s="65"/>
      <c r="AJ65" s="65"/>
      <c r="AK65" s="65"/>
      <c r="AL65" s="65"/>
      <c r="AM65" s="65"/>
      <c r="AN65" s="18"/>
      <c r="AO65" s="66"/>
      <c r="AP65" s="64"/>
      <c r="AQ65" s="64"/>
      <c r="AR65" s="64"/>
      <c r="AS65" s="18"/>
      <c r="AT65" s="64"/>
      <c r="AU65" s="64"/>
      <c r="AV65" s="64"/>
      <c r="AW65" s="183">
        <v>70</v>
      </c>
      <c r="AX65" s="64"/>
      <c r="AY65" s="80"/>
      <c r="AZ65" s="64"/>
      <c r="BA65" s="65"/>
      <c r="BB65" s="64"/>
      <c r="BC65" s="65"/>
      <c r="BD65" s="65"/>
      <c r="BE65" s="65"/>
      <c r="BS65" s="61"/>
      <c r="BT65" s="65"/>
      <c r="BU65" s="18"/>
      <c r="BV65" s="18"/>
      <c r="BW65" s="18"/>
      <c r="BX65" s="65"/>
      <c r="BY65" s="65"/>
      <c r="BZ65" s="65"/>
      <c r="CA65" s="18"/>
      <c r="CB65" s="18"/>
      <c r="CC65" s="18"/>
      <c r="CD65" s="65"/>
    </row>
    <row r="66" spans="1:82" ht="3" customHeight="1">
      <c r="A66" s="18"/>
      <c r="B66" s="66"/>
      <c r="C66" s="18"/>
      <c r="D66" s="18"/>
      <c r="E66" s="65"/>
      <c r="O66" s="18"/>
      <c r="P66" s="18"/>
      <c r="Q66" s="14"/>
      <c r="W66" s="65"/>
      <c r="AA66" s="65"/>
      <c r="AI66" s="65"/>
      <c r="AJ66" s="65"/>
      <c r="AK66" s="65"/>
      <c r="AL66" s="65"/>
      <c r="AM66" s="65"/>
      <c r="AN66" s="18"/>
      <c r="AO66" s="66"/>
      <c r="AP66" s="64"/>
      <c r="AQ66" s="64"/>
      <c r="AR66" s="64"/>
      <c r="AS66" s="18"/>
      <c r="AT66" s="64"/>
      <c r="AU66" s="64"/>
      <c r="AV66" s="64"/>
      <c r="AW66" s="65"/>
      <c r="AX66" s="64"/>
      <c r="AY66" s="64"/>
      <c r="AZ66" s="64"/>
      <c r="BA66" s="65"/>
      <c r="BB66" s="64"/>
      <c r="BC66" s="65"/>
      <c r="BD66" s="65"/>
      <c r="BE66" s="65"/>
      <c r="BS66" s="18"/>
      <c r="BT66" s="68"/>
      <c r="BU66" s="68"/>
      <c r="BV66" s="18"/>
      <c r="BW66" s="18"/>
      <c r="BX66" s="65"/>
      <c r="BY66" s="65"/>
      <c r="BZ66" s="65"/>
      <c r="CA66" s="18"/>
      <c r="CB66" s="18"/>
      <c r="CC66" s="18"/>
      <c r="CD66" s="65"/>
    </row>
    <row r="67" spans="1:82" ht="21" customHeight="1">
      <c r="A67" s="377" t="s">
        <v>1364</v>
      </c>
      <c r="B67" s="375"/>
      <c r="C67" s="375"/>
      <c r="D67" s="375"/>
      <c r="E67" s="375"/>
      <c r="F67" s="384"/>
      <c r="G67" s="384"/>
      <c r="H67" s="384"/>
      <c r="I67" s="384"/>
      <c r="J67" s="384"/>
      <c r="K67" s="384"/>
      <c r="L67" s="384"/>
      <c r="M67" s="385"/>
      <c r="O67" s="377" t="str">
        <f>VLOOKUP(AW67,Fertigkeiten!$A$31:$F$178,3)</f>
        <v>Springen</v>
      </c>
      <c r="P67" s="357"/>
      <c r="Q67" s="357"/>
      <c r="R67" s="384"/>
      <c r="S67" s="384"/>
      <c r="T67" s="384"/>
      <c r="U67" s="385"/>
      <c r="W67" s="377" t="str">
        <f>IF(VLOOKUP(AW67,Fertigkeiten!$A$31:$H$178,7)="---"," ",VLOOKUP(AW67,Fertigkeiten!$A$31:$H$178,7))</f>
        <v>ST</v>
      </c>
      <c r="X67" s="384"/>
      <c r="Y67" s="385"/>
      <c r="AA67" s="377" t="str">
        <f>IF(VLOOKUP(AW67,Fertigkeiten!$A$31:$H$178,6)="---"," ",VLOOKUP(AW67,Fertigkeiten!$A$31:$H$178,6))</f>
        <v>0</v>
      </c>
      <c r="AB67" s="384"/>
      <c r="AC67" s="385"/>
      <c r="AE67" s="377">
        <f>IF(VLOOKUP(AW67,Fertigkeiten!$A$31:$H$178,4)="---"," ",VLOOKUP(AW67,Fertigkeiten!$A$31:$H$178,4))</f>
        <v>1</v>
      </c>
      <c r="AF67" s="384"/>
      <c r="AG67" s="385"/>
      <c r="AI67" s="65"/>
      <c r="AJ67" s="65"/>
      <c r="AK67" s="65"/>
      <c r="AL67" s="65"/>
      <c r="AM67" s="65"/>
      <c r="AN67" s="18"/>
      <c r="AO67" s="66"/>
      <c r="AP67" s="64"/>
      <c r="AQ67" s="64"/>
      <c r="AR67" s="64"/>
      <c r="AS67" s="18"/>
      <c r="AT67" s="64"/>
      <c r="AU67" s="64"/>
      <c r="AV67" s="64"/>
      <c r="AW67" s="334">
        <v>93</v>
      </c>
      <c r="AX67" s="64"/>
      <c r="AY67" s="80"/>
      <c r="AZ67" s="64"/>
      <c r="BA67" s="65"/>
      <c r="BB67" s="64"/>
      <c r="BC67" s="65"/>
      <c r="BD67" s="65"/>
      <c r="BE67" s="65"/>
      <c r="BS67" s="61"/>
      <c r="BT67" s="18"/>
      <c r="BU67" s="18"/>
      <c r="BV67" s="18"/>
      <c r="BW67" s="18"/>
      <c r="BX67" s="65"/>
      <c r="BY67" s="65"/>
      <c r="BZ67" s="65"/>
      <c r="CA67" s="18"/>
      <c r="CB67" s="18"/>
      <c r="CC67" s="18"/>
      <c r="CD67" s="65"/>
    </row>
    <row r="68" spans="1:82" ht="3" customHeight="1">
      <c r="A68" s="18"/>
      <c r="B68" s="66"/>
      <c r="C68" s="18"/>
      <c r="D68" s="18"/>
      <c r="E68" s="65"/>
      <c r="O68" s="18"/>
      <c r="P68" s="18"/>
      <c r="Q68" s="18"/>
      <c r="W68" s="64"/>
      <c r="AA68" s="65"/>
      <c r="AI68" s="65"/>
      <c r="AJ68" s="65"/>
      <c r="AK68" s="65"/>
      <c r="AL68" s="65"/>
      <c r="AM68" s="65"/>
      <c r="AN68" s="18"/>
      <c r="AO68" s="66"/>
      <c r="AP68" s="64"/>
      <c r="AQ68" s="64"/>
      <c r="AR68" s="64"/>
      <c r="AS68" s="18"/>
      <c r="AT68" s="64"/>
      <c r="AU68" s="64"/>
      <c r="AV68" s="64"/>
      <c r="AW68" s="18"/>
      <c r="AX68" s="64"/>
      <c r="AY68" s="65"/>
      <c r="AZ68" s="64"/>
      <c r="BA68" s="65"/>
      <c r="BB68" s="64"/>
      <c r="BC68" s="65"/>
      <c r="BD68" s="65"/>
      <c r="BE68" s="65"/>
      <c r="BS68" s="61"/>
      <c r="BT68" s="65"/>
      <c r="BU68" s="18"/>
      <c r="BV68" s="18"/>
      <c r="BW68" s="18"/>
      <c r="BX68" s="65"/>
      <c r="BY68" s="65"/>
      <c r="BZ68" s="65"/>
      <c r="CA68" s="18"/>
      <c r="CB68" s="18"/>
      <c r="CC68" s="18"/>
      <c r="CD68" s="65"/>
    </row>
    <row r="69" spans="1:82" ht="21" customHeight="1">
      <c r="A69" s="377"/>
      <c r="B69" s="375"/>
      <c r="C69" s="375"/>
      <c r="D69" s="375"/>
      <c r="E69" s="375"/>
      <c r="F69" s="384"/>
      <c r="G69" s="384"/>
      <c r="H69" s="384"/>
      <c r="I69" s="384"/>
      <c r="J69" s="384"/>
      <c r="K69" s="384"/>
      <c r="L69" s="384"/>
      <c r="M69" s="385"/>
      <c r="O69" s="377" t="str">
        <f>VLOOKUP(AW69,Fertigkeiten!$A$31:$F$178,3)</f>
        <v>Turnen</v>
      </c>
      <c r="P69" s="357"/>
      <c r="Q69" s="357"/>
      <c r="R69" s="384"/>
      <c r="S69" s="384"/>
      <c r="T69" s="384"/>
      <c r="U69" s="385"/>
      <c r="W69" s="377" t="str">
        <f>IF(VLOOKUP(AW69,Fertigkeiten!$A$31:$H$178,7)="---"," ",VLOOKUP(AW69,Fertigkeiten!$A$31:$H$178,7))</f>
        <v>GE</v>
      </c>
      <c r="X69" s="384"/>
      <c r="Y69" s="385"/>
      <c r="AA69" s="377" t="str">
        <f>IF(VLOOKUP(AW69,Fertigkeiten!$A$31:$H$178,6)="---"," ",VLOOKUP(AW69,Fertigkeiten!$A$31:$H$178,6))</f>
        <v>0</v>
      </c>
      <c r="AB69" s="384"/>
      <c r="AC69" s="385"/>
      <c r="AE69" s="377">
        <f>IF(VLOOKUP(AW69,Fertigkeiten!$A$31:$H$178,4)="---"," ",VLOOKUP(AW69,Fertigkeiten!$A$31:$H$178,4))</f>
        <v>1</v>
      </c>
      <c r="AF69" s="375"/>
      <c r="AG69" s="376"/>
      <c r="AI69" s="65"/>
      <c r="AJ69" s="65"/>
      <c r="AK69" s="65"/>
      <c r="AL69" s="65"/>
      <c r="AM69" s="65"/>
      <c r="AN69" s="18"/>
      <c r="AO69" s="66"/>
      <c r="AP69" s="64"/>
      <c r="AQ69" s="64"/>
      <c r="AR69" s="64"/>
      <c r="AS69" s="18"/>
      <c r="AT69" s="64"/>
      <c r="AU69" s="64"/>
      <c r="AV69" s="64"/>
      <c r="AW69" s="183">
        <v>108</v>
      </c>
      <c r="AX69" s="64"/>
      <c r="AY69" s="80"/>
      <c r="AZ69" s="64"/>
      <c r="BA69" s="65"/>
      <c r="BB69" s="64"/>
      <c r="BC69" s="65"/>
      <c r="BD69" s="65"/>
      <c r="BE69" s="65"/>
      <c r="BS69" s="61"/>
      <c r="BT69" s="65"/>
      <c r="BU69" s="18"/>
      <c r="BV69" s="18"/>
      <c r="BW69" s="18"/>
      <c r="BX69" s="65"/>
      <c r="BY69" s="65"/>
      <c r="BZ69" s="65"/>
      <c r="CA69" s="18"/>
      <c r="CB69" s="18"/>
      <c r="CC69" s="18"/>
      <c r="CD69" s="65"/>
    </row>
    <row r="70" spans="1:82" ht="3" customHeight="1">
      <c r="A70" s="18"/>
      <c r="B70" s="66"/>
      <c r="C70" s="18"/>
      <c r="D70" s="18"/>
      <c r="E70" s="65"/>
      <c r="O70" s="18"/>
      <c r="P70" s="18"/>
      <c r="Q70" s="14"/>
      <c r="W70" s="65"/>
      <c r="AA70" s="65"/>
      <c r="AI70" s="65"/>
      <c r="AJ70" s="65"/>
      <c r="AK70" s="65"/>
      <c r="AL70" s="65"/>
      <c r="AM70" s="65"/>
      <c r="AN70" s="18"/>
      <c r="AO70" s="66"/>
      <c r="AP70" s="64"/>
      <c r="AQ70" s="64"/>
      <c r="AR70" s="64"/>
      <c r="AS70" s="18"/>
      <c r="AT70" s="64"/>
      <c r="AU70" s="64"/>
      <c r="AV70" s="64"/>
      <c r="AW70" s="65"/>
      <c r="AX70" s="64"/>
      <c r="AY70" s="64"/>
      <c r="AZ70" s="64"/>
      <c r="BA70" s="65"/>
      <c r="BB70" s="64"/>
      <c r="BC70" s="65"/>
      <c r="BD70" s="65"/>
      <c r="BE70" s="65"/>
      <c r="BS70" s="18"/>
      <c r="BT70" s="68"/>
      <c r="BU70" s="68"/>
      <c r="BV70" s="18"/>
      <c r="BW70" s="18"/>
      <c r="BX70" s="65"/>
      <c r="BY70" s="65"/>
      <c r="BZ70" s="65"/>
      <c r="CA70" s="18"/>
      <c r="CB70" s="18"/>
      <c r="CC70" s="18"/>
      <c r="CD70" s="65"/>
    </row>
    <row r="71" spans="1:82" ht="21" customHeight="1">
      <c r="A71" s="377"/>
      <c r="B71" s="375"/>
      <c r="C71" s="375"/>
      <c r="D71" s="375"/>
      <c r="E71" s="375"/>
      <c r="F71" s="384"/>
      <c r="G71" s="384"/>
      <c r="H71" s="384"/>
      <c r="I71" s="384"/>
      <c r="J71" s="384"/>
      <c r="K71" s="384"/>
      <c r="L71" s="384"/>
      <c r="M71" s="385"/>
      <c r="O71" s="377" t="str">
        <f>VLOOKUP(AW71,Fertigkeiten!$A$31:$F$178,3)</f>
        <v>---</v>
      </c>
      <c r="P71" s="357"/>
      <c r="Q71" s="357"/>
      <c r="R71" s="384"/>
      <c r="S71" s="384"/>
      <c r="T71" s="384"/>
      <c r="U71" s="385"/>
      <c r="W71" s="377" t="str">
        <f>IF(VLOOKUP(AW71,Fertigkeiten!$A$31:$H$178,7)="---"," ",VLOOKUP(AW71,Fertigkeiten!$A$31:$H$178,7))</f>
        <v> </v>
      </c>
      <c r="X71" s="384"/>
      <c r="Y71" s="385"/>
      <c r="AA71" s="377" t="str">
        <f>IF(VLOOKUP(AW71,Fertigkeiten!$A$31:$H$178,6)="---"," ",VLOOKUP(AW71,Fertigkeiten!$A$31:$H$178,6))</f>
        <v> </v>
      </c>
      <c r="AB71" s="384"/>
      <c r="AC71" s="385"/>
      <c r="AE71" s="377" t="str">
        <f>IF(VLOOKUP(AW71,Fertigkeiten!$A$31:$H$178,4)="---"," ",VLOOKUP(AW71,Fertigkeiten!$A$31:$H$178,4))</f>
        <v> </v>
      </c>
      <c r="AF71" s="384"/>
      <c r="AG71" s="385"/>
      <c r="AI71" s="65"/>
      <c r="AJ71" s="65"/>
      <c r="AK71" s="65"/>
      <c r="AL71" s="65"/>
      <c r="AM71" s="65"/>
      <c r="AN71" s="18"/>
      <c r="AO71" s="66"/>
      <c r="AP71" s="64"/>
      <c r="AQ71" s="64"/>
      <c r="AR71" s="64"/>
      <c r="AS71" s="18"/>
      <c r="AT71" s="64"/>
      <c r="AU71" s="64"/>
      <c r="AV71" s="64"/>
      <c r="AW71" s="334">
        <v>1</v>
      </c>
      <c r="AX71" s="64"/>
      <c r="AY71" s="80"/>
      <c r="AZ71" s="64"/>
      <c r="BA71" s="65"/>
      <c r="BB71" s="64"/>
      <c r="BC71" s="65"/>
      <c r="BD71" s="65"/>
      <c r="BE71" s="65"/>
      <c r="BS71" s="61"/>
      <c r="BT71" s="18"/>
      <c r="BU71" s="18"/>
      <c r="BV71" s="18"/>
      <c r="BW71" s="18"/>
      <c r="BX71" s="65"/>
      <c r="BY71" s="65"/>
      <c r="BZ71" s="65"/>
      <c r="CA71" s="18"/>
      <c r="CB71" s="18"/>
      <c r="CC71" s="18"/>
      <c r="CD71" s="65"/>
    </row>
    <row r="72" spans="1:82" ht="3" customHeight="1">
      <c r="A72" s="18"/>
      <c r="B72" s="66"/>
      <c r="C72" s="18"/>
      <c r="D72" s="18"/>
      <c r="E72" s="65"/>
      <c r="O72" s="18"/>
      <c r="P72" s="18"/>
      <c r="Q72" s="18"/>
      <c r="W72" s="64"/>
      <c r="AA72" s="65"/>
      <c r="AI72" s="65"/>
      <c r="AJ72" s="65"/>
      <c r="AK72" s="65"/>
      <c r="AL72" s="65"/>
      <c r="AM72" s="65"/>
      <c r="AN72" s="18"/>
      <c r="AO72" s="66"/>
      <c r="AP72" s="64"/>
      <c r="AQ72" s="64"/>
      <c r="AR72" s="64"/>
      <c r="AS72" s="18"/>
      <c r="AT72" s="64"/>
      <c r="AU72" s="64"/>
      <c r="AV72" s="64"/>
      <c r="AW72" s="18"/>
      <c r="AX72" s="64"/>
      <c r="AY72" s="65"/>
      <c r="AZ72" s="64"/>
      <c r="BA72" s="65"/>
      <c r="BB72" s="64"/>
      <c r="BC72" s="65"/>
      <c r="BD72" s="65"/>
      <c r="BE72" s="65"/>
      <c r="BS72" s="61"/>
      <c r="BT72" s="65"/>
      <c r="BU72" s="18"/>
      <c r="BV72" s="18"/>
      <c r="BW72" s="18"/>
      <c r="BX72" s="65"/>
      <c r="BY72" s="65"/>
      <c r="BZ72" s="65"/>
      <c r="CA72" s="18"/>
      <c r="CB72" s="18"/>
      <c r="CC72" s="18"/>
      <c r="CD72" s="65"/>
    </row>
    <row r="73" spans="1:82" ht="21" customHeight="1">
      <c r="A73" s="377"/>
      <c r="B73" s="375"/>
      <c r="C73" s="375"/>
      <c r="D73" s="375"/>
      <c r="E73" s="375"/>
      <c r="F73" s="384"/>
      <c r="G73" s="384"/>
      <c r="H73" s="384"/>
      <c r="I73" s="384"/>
      <c r="J73" s="384"/>
      <c r="K73" s="384"/>
      <c r="L73" s="384"/>
      <c r="M73" s="385"/>
      <c r="O73" s="377" t="str">
        <f>VLOOKUP(AW73,Fertigkeiten!$A$31:$F$178,3)</f>
        <v>---</v>
      </c>
      <c r="P73" s="357"/>
      <c r="Q73" s="357"/>
      <c r="R73" s="384"/>
      <c r="S73" s="384"/>
      <c r="T73" s="384"/>
      <c r="U73" s="385"/>
      <c r="W73" s="377" t="str">
        <f>IF(VLOOKUP(AW73,Fertigkeiten!$A$31:$H$178,7)="---"," ",VLOOKUP(AW73,Fertigkeiten!$A$31:$H$178,7))</f>
        <v> </v>
      </c>
      <c r="X73" s="384"/>
      <c r="Y73" s="385"/>
      <c r="AA73" s="377" t="str">
        <f>IF(VLOOKUP(AW73,Fertigkeiten!$A$31:$H$178,6)="---"," ",VLOOKUP(AW73,Fertigkeiten!$A$31:$H$178,6))</f>
        <v> </v>
      </c>
      <c r="AB73" s="384"/>
      <c r="AC73" s="385"/>
      <c r="AE73" s="377" t="str">
        <f>IF(VLOOKUP(AW73,Fertigkeiten!$A$31:$H$178,4)="---"," ",VLOOKUP(AW73,Fertigkeiten!$A$31:$H$178,4))</f>
        <v> </v>
      </c>
      <c r="AF73" s="384"/>
      <c r="AG73" s="385"/>
      <c r="AI73" s="65"/>
      <c r="AJ73" s="65"/>
      <c r="AK73" s="65"/>
      <c r="AL73" s="65"/>
      <c r="AM73" s="65"/>
      <c r="AN73" s="18"/>
      <c r="AO73" s="66"/>
      <c r="AP73" s="64"/>
      <c r="AQ73" s="64"/>
      <c r="AR73" s="64"/>
      <c r="AS73" s="18"/>
      <c r="AT73" s="64"/>
      <c r="AU73" s="64"/>
      <c r="AV73" s="64"/>
      <c r="AW73" s="183">
        <v>1</v>
      </c>
      <c r="AX73" s="64"/>
      <c r="AY73" s="80"/>
      <c r="AZ73" s="64"/>
      <c r="BA73" s="65"/>
      <c r="BB73" s="64"/>
      <c r="BC73" s="65"/>
      <c r="BD73" s="65"/>
      <c r="BE73" s="65"/>
      <c r="BS73" s="61"/>
      <c r="BT73" s="65"/>
      <c r="BU73" s="18"/>
      <c r="BV73" s="18"/>
      <c r="BW73" s="18"/>
      <c r="BX73" s="65"/>
      <c r="BY73" s="65"/>
      <c r="BZ73" s="65"/>
      <c r="CA73" s="18"/>
      <c r="CB73" s="18"/>
      <c r="CC73" s="18"/>
      <c r="CD73" s="65"/>
    </row>
    <row r="74" spans="1:82" ht="3" customHeight="1">
      <c r="A74" s="18"/>
      <c r="B74" s="66"/>
      <c r="C74" s="18"/>
      <c r="D74" s="18"/>
      <c r="E74" s="65"/>
      <c r="O74" s="18"/>
      <c r="P74" s="18"/>
      <c r="Q74" s="14"/>
      <c r="W74" s="65"/>
      <c r="AA74" s="65"/>
      <c r="AI74" s="65"/>
      <c r="AJ74" s="65"/>
      <c r="AK74" s="65"/>
      <c r="AL74" s="65"/>
      <c r="AM74" s="65"/>
      <c r="AN74" s="18"/>
      <c r="AO74" s="66"/>
      <c r="AP74" s="64"/>
      <c r="AQ74" s="64"/>
      <c r="AR74" s="64"/>
      <c r="AS74" s="18"/>
      <c r="AT74" s="64"/>
      <c r="AU74" s="64"/>
      <c r="AV74" s="64"/>
      <c r="AW74" s="65"/>
      <c r="AX74" s="64"/>
      <c r="AY74" s="64"/>
      <c r="AZ74" s="64"/>
      <c r="BA74" s="65"/>
      <c r="BB74" s="64"/>
      <c r="BC74" s="65"/>
      <c r="BD74" s="65"/>
      <c r="BE74" s="65"/>
      <c r="BS74" s="18"/>
      <c r="BT74" s="68"/>
      <c r="BU74" s="68"/>
      <c r="BV74" s="18"/>
      <c r="BW74" s="18"/>
      <c r="BX74" s="65"/>
      <c r="BY74" s="65"/>
      <c r="BZ74" s="65"/>
      <c r="CA74" s="18"/>
      <c r="CB74" s="18"/>
      <c r="CC74" s="18"/>
      <c r="CD74" s="65"/>
    </row>
    <row r="75" spans="1:82" ht="21" customHeight="1">
      <c r="A75" s="377"/>
      <c r="B75" s="375"/>
      <c r="C75" s="375"/>
      <c r="D75" s="375"/>
      <c r="E75" s="375"/>
      <c r="F75" s="384"/>
      <c r="G75" s="384"/>
      <c r="H75" s="384"/>
      <c r="I75" s="384"/>
      <c r="J75" s="384"/>
      <c r="K75" s="384"/>
      <c r="L75" s="384"/>
      <c r="M75" s="385"/>
      <c r="O75" s="377" t="str">
        <f>VLOOKUP(AW75,Fertigkeiten!$A$31:$F$178,3)</f>
        <v>---</v>
      </c>
      <c r="P75" s="357"/>
      <c r="Q75" s="357"/>
      <c r="R75" s="384"/>
      <c r="S75" s="384"/>
      <c r="T75" s="384"/>
      <c r="U75" s="385"/>
      <c r="W75" s="377" t="str">
        <f>IF(VLOOKUP(AW75,Fertigkeiten!$A$31:$H$178,7)="---"," ",VLOOKUP(AW75,Fertigkeiten!$A$31:$H$178,7))</f>
        <v> </v>
      </c>
      <c r="X75" s="384"/>
      <c r="Y75" s="385"/>
      <c r="AA75" s="377" t="str">
        <f>IF(VLOOKUP(AW75,Fertigkeiten!$A$31:$H$178,6)="---"," ",VLOOKUP(AW75,Fertigkeiten!$A$31:$H$178,6))</f>
        <v> </v>
      </c>
      <c r="AB75" s="384"/>
      <c r="AC75" s="385"/>
      <c r="AE75" s="377" t="str">
        <f>IF(VLOOKUP(AW75,Fertigkeiten!$A$31:$H$178,4)="---"," ",VLOOKUP(AW75,Fertigkeiten!$A$31:$H$178,4))</f>
        <v> </v>
      </c>
      <c r="AF75" s="384"/>
      <c r="AG75" s="385"/>
      <c r="AI75" s="65"/>
      <c r="AJ75" s="65"/>
      <c r="AK75" s="65"/>
      <c r="AL75" s="65"/>
      <c r="AM75" s="65"/>
      <c r="AN75" s="18"/>
      <c r="AO75" s="66"/>
      <c r="AP75" s="64"/>
      <c r="AQ75" s="64"/>
      <c r="AR75" s="64"/>
      <c r="AS75" s="18"/>
      <c r="AT75" s="64"/>
      <c r="AU75" s="64"/>
      <c r="AV75" s="64"/>
      <c r="AW75" s="334">
        <v>1</v>
      </c>
      <c r="AX75" s="64"/>
      <c r="AY75" s="80"/>
      <c r="AZ75" s="64"/>
      <c r="BA75" s="65"/>
      <c r="BB75" s="64"/>
      <c r="BC75" s="65"/>
      <c r="BD75" s="65"/>
      <c r="BE75" s="65"/>
      <c r="BO75" s="65"/>
      <c r="BP75" s="65"/>
      <c r="BQ75" s="65"/>
      <c r="BR75" s="65"/>
      <c r="BS75" s="61"/>
      <c r="BT75" s="18"/>
      <c r="BU75" s="18"/>
      <c r="BV75" s="18"/>
      <c r="BW75" s="18"/>
      <c r="BX75" s="65"/>
      <c r="BY75" s="65"/>
      <c r="BZ75" s="65"/>
      <c r="CA75" s="18"/>
      <c r="CB75" s="18"/>
      <c r="CC75" s="18"/>
      <c r="CD75" s="65"/>
    </row>
    <row r="76" spans="1:82" ht="3" customHeight="1">
      <c r="A76" s="18"/>
      <c r="B76" s="66"/>
      <c r="C76" s="18"/>
      <c r="D76" s="18"/>
      <c r="E76" s="65"/>
      <c r="O76" s="18"/>
      <c r="P76" s="18"/>
      <c r="Q76" s="18"/>
      <c r="W76" s="64"/>
      <c r="AA76" s="65"/>
      <c r="AI76" s="65"/>
      <c r="AJ76" s="65"/>
      <c r="AK76" s="65"/>
      <c r="AL76" s="65"/>
      <c r="AM76" s="65"/>
      <c r="AN76" s="18"/>
      <c r="AO76" s="66"/>
      <c r="AP76" s="64"/>
      <c r="AQ76" s="64"/>
      <c r="AR76" s="64"/>
      <c r="AS76" s="18"/>
      <c r="AT76" s="64"/>
      <c r="AU76" s="64"/>
      <c r="AV76" s="64"/>
      <c r="AW76" s="18"/>
      <c r="AX76" s="64"/>
      <c r="AY76" s="65"/>
      <c r="AZ76" s="64"/>
      <c r="BA76" s="65"/>
      <c r="BB76" s="64"/>
      <c r="BC76" s="65"/>
      <c r="BD76" s="65"/>
      <c r="BE76" s="65"/>
      <c r="BO76" s="65"/>
      <c r="BP76" s="65"/>
      <c r="BQ76" s="65"/>
      <c r="BR76" s="65"/>
      <c r="BS76" s="61"/>
      <c r="BT76" s="65"/>
      <c r="BU76" s="18"/>
      <c r="BV76" s="18"/>
      <c r="BW76" s="18"/>
      <c r="BX76" s="65"/>
      <c r="BY76" s="65"/>
      <c r="BZ76" s="65"/>
      <c r="CA76" s="18"/>
      <c r="CB76" s="18"/>
      <c r="CC76" s="18"/>
      <c r="CD76" s="65"/>
    </row>
    <row r="77" spans="1:82" ht="21" customHeight="1">
      <c r="A77" s="377"/>
      <c r="B77" s="375"/>
      <c r="C77" s="375"/>
      <c r="D77" s="375"/>
      <c r="E77" s="375"/>
      <c r="F77" s="384"/>
      <c r="G77" s="384"/>
      <c r="H77" s="384"/>
      <c r="I77" s="384"/>
      <c r="J77" s="384"/>
      <c r="K77" s="384"/>
      <c r="L77" s="384"/>
      <c r="M77" s="385"/>
      <c r="O77" s="377" t="str">
        <f>VLOOKUP(AW77,Fertigkeiten!$A$31:$F$178,3)</f>
        <v>---</v>
      </c>
      <c r="P77" s="357"/>
      <c r="Q77" s="357"/>
      <c r="R77" s="384"/>
      <c r="S77" s="384"/>
      <c r="T77" s="384"/>
      <c r="U77" s="385"/>
      <c r="W77" s="377" t="str">
        <f>IF(VLOOKUP(AW77,Fertigkeiten!$A$31:$H$178,7)="---"," ",VLOOKUP(AW77,Fertigkeiten!$A$31:$H$178,7))</f>
        <v> </v>
      </c>
      <c r="X77" s="384"/>
      <c r="Y77" s="385"/>
      <c r="AA77" s="377" t="str">
        <f>IF(VLOOKUP(AW77,Fertigkeiten!$A$31:$H$178,6)="---"," ",VLOOKUP(AW77,Fertigkeiten!$A$31:$H$178,6))</f>
        <v> </v>
      </c>
      <c r="AB77" s="384"/>
      <c r="AC77" s="385"/>
      <c r="AE77" s="377" t="str">
        <f>IF(VLOOKUP(AW77,Fertigkeiten!$A$31:$H$178,4)="---"," ",VLOOKUP(AW77,Fertigkeiten!$A$31:$H$178,4))</f>
        <v> </v>
      </c>
      <c r="AF77" s="384"/>
      <c r="AG77" s="385"/>
      <c r="AI77" s="65"/>
      <c r="AJ77" s="65"/>
      <c r="AK77" s="65"/>
      <c r="AL77" s="65"/>
      <c r="AM77" s="65"/>
      <c r="AN77" s="18"/>
      <c r="AO77" s="66"/>
      <c r="AP77" s="64"/>
      <c r="AQ77" s="64"/>
      <c r="AR77" s="64"/>
      <c r="AS77" s="18"/>
      <c r="AT77" s="64"/>
      <c r="AU77" s="64"/>
      <c r="AV77" s="64"/>
      <c r="AW77" s="183">
        <v>1</v>
      </c>
      <c r="AX77" s="64"/>
      <c r="AY77" s="80"/>
      <c r="AZ77" s="64"/>
      <c r="BA77" s="65"/>
      <c r="BB77" s="64"/>
      <c r="BC77" s="65"/>
      <c r="BD77" s="65"/>
      <c r="BE77" s="65"/>
      <c r="BO77" s="65"/>
      <c r="BP77" s="65"/>
      <c r="BQ77" s="65"/>
      <c r="BR77" s="65"/>
      <c r="BS77" s="61"/>
      <c r="BT77" s="65"/>
      <c r="BU77" s="18"/>
      <c r="BV77" s="18"/>
      <c r="BW77" s="18"/>
      <c r="BX77" s="65"/>
      <c r="BY77" s="65"/>
      <c r="BZ77" s="65"/>
      <c r="CA77" s="18"/>
      <c r="CB77" s="18"/>
      <c r="CC77" s="18"/>
      <c r="CD77" s="65"/>
    </row>
    <row r="78" spans="1:82" ht="3" customHeight="1">
      <c r="A78" s="18"/>
      <c r="B78" s="66"/>
      <c r="C78" s="18"/>
      <c r="D78" s="18"/>
      <c r="E78" s="65"/>
      <c r="O78" s="18"/>
      <c r="P78" s="18"/>
      <c r="Q78" s="14"/>
      <c r="W78" s="65"/>
      <c r="AI78" s="65"/>
      <c r="AJ78" s="65"/>
      <c r="AK78" s="65"/>
      <c r="AL78" s="65"/>
      <c r="AM78" s="65"/>
      <c r="AN78" s="18"/>
      <c r="AO78" s="66"/>
      <c r="AP78" s="64"/>
      <c r="AQ78" s="64"/>
      <c r="AR78" s="64"/>
      <c r="AS78" s="18"/>
      <c r="AT78" s="64"/>
      <c r="AU78" s="64"/>
      <c r="AV78" s="64"/>
      <c r="AW78" s="65"/>
      <c r="AX78" s="64"/>
      <c r="AY78" s="64"/>
      <c r="AZ78" s="64"/>
      <c r="BA78" s="65"/>
      <c r="BB78" s="64"/>
      <c r="BC78" s="65"/>
      <c r="BD78" s="65"/>
      <c r="BE78" s="65"/>
      <c r="BO78" s="65"/>
      <c r="BP78" s="65"/>
      <c r="BQ78" s="65"/>
      <c r="BR78" s="65"/>
      <c r="BS78" s="18"/>
      <c r="BT78" s="68"/>
      <c r="BU78" s="68"/>
      <c r="BV78" s="18"/>
      <c r="BW78" s="18"/>
      <c r="BX78" s="65"/>
      <c r="BY78" s="65"/>
      <c r="BZ78" s="65"/>
      <c r="CA78" s="18"/>
      <c r="CB78" s="18"/>
      <c r="CC78" s="18"/>
      <c r="CD78" s="65"/>
    </row>
    <row r="79" spans="1:82" ht="21" customHeight="1">
      <c r="A79" s="377"/>
      <c r="B79" s="375"/>
      <c r="C79" s="375"/>
      <c r="D79" s="375"/>
      <c r="E79" s="375"/>
      <c r="F79" s="384"/>
      <c r="G79" s="384"/>
      <c r="H79" s="384"/>
      <c r="I79" s="384"/>
      <c r="J79" s="384"/>
      <c r="K79" s="384"/>
      <c r="L79" s="384"/>
      <c r="M79" s="385"/>
      <c r="O79" s="377" t="str">
        <f>VLOOKUP(AW79,Fertigkeiten!$A$31:$F$178,3)</f>
        <v>---</v>
      </c>
      <c r="P79" s="357"/>
      <c r="Q79" s="357"/>
      <c r="R79" s="384"/>
      <c r="S79" s="384"/>
      <c r="T79" s="384"/>
      <c r="U79" s="385"/>
      <c r="W79" s="377" t="str">
        <f>IF(VLOOKUP(AW79,Fertigkeiten!$A$31:$H$178,7)="---"," ",VLOOKUP(AW79,Fertigkeiten!$A$31:$H$178,7))</f>
        <v> </v>
      </c>
      <c r="X79" s="384"/>
      <c r="Y79" s="385"/>
      <c r="AA79" s="377" t="str">
        <f>IF(VLOOKUP(AW79,Fertigkeiten!$A$31:$H$178,6)="---"," ",VLOOKUP(AW79,Fertigkeiten!$A$31:$H$178,6))</f>
        <v> </v>
      </c>
      <c r="AB79" s="384"/>
      <c r="AC79" s="385"/>
      <c r="AE79" s="377" t="str">
        <f>IF(VLOOKUP(AW79,Fertigkeiten!$A$31:$H$178,4)="---"," ",VLOOKUP(AW79,Fertigkeiten!$A$31:$H$178,4))</f>
        <v> </v>
      </c>
      <c r="AF79" s="384"/>
      <c r="AG79" s="385"/>
      <c r="AI79" s="65"/>
      <c r="AJ79" s="65"/>
      <c r="AK79" s="65"/>
      <c r="AL79" s="65"/>
      <c r="AM79" s="65"/>
      <c r="AN79" s="18"/>
      <c r="AO79" s="66"/>
      <c r="AP79" s="64"/>
      <c r="AQ79" s="64"/>
      <c r="AR79" s="64"/>
      <c r="AS79" s="18"/>
      <c r="AT79" s="64"/>
      <c r="AU79" s="64"/>
      <c r="AV79" s="64"/>
      <c r="AW79" s="334">
        <v>1</v>
      </c>
      <c r="AX79" s="64"/>
      <c r="AY79" s="80"/>
      <c r="AZ79" s="64"/>
      <c r="BA79" s="65"/>
      <c r="BB79" s="64"/>
      <c r="BC79" s="65"/>
      <c r="BD79" s="65"/>
      <c r="BE79" s="65"/>
      <c r="BO79" s="65"/>
      <c r="BP79" s="65"/>
      <c r="BQ79" s="65"/>
      <c r="BR79" s="65"/>
      <c r="BS79" s="61"/>
      <c r="BT79" s="18"/>
      <c r="BU79" s="18"/>
      <c r="BV79" s="18"/>
      <c r="BW79" s="18"/>
      <c r="BX79" s="65"/>
      <c r="BY79" s="65"/>
      <c r="BZ79" s="65"/>
      <c r="CA79" s="18"/>
      <c r="CB79" s="18"/>
      <c r="CC79" s="18"/>
      <c r="CD79" s="65"/>
    </row>
    <row r="80" spans="31:82" ht="12.75">
      <c r="AE80" s="326" t="s">
        <v>449</v>
      </c>
      <c r="AF80" s="327"/>
      <c r="AG80" s="327"/>
      <c r="AI80" s="65"/>
      <c r="AJ80" s="65"/>
      <c r="AK80" s="65"/>
      <c r="AL80" s="65"/>
      <c r="AM80" s="65"/>
      <c r="AN80" s="18"/>
      <c r="AO80" s="66"/>
      <c r="AP80" s="64"/>
      <c r="AQ80" s="64"/>
      <c r="AR80" s="64"/>
      <c r="AS80" s="64"/>
      <c r="AT80" s="64"/>
      <c r="AU80" s="64"/>
      <c r="AV80" s="64"/>
      <c r="AW80" s="64"/>
      <c r="AX80" s="64"/>
      <c r="AY80" s="64"/>
      <c r="AZ80" s="64"/>
      <c r="BA80" s="65"/>
      <c r="BB80" s="65"/>
      <c r="BC80" s="65"/>
      <c r="BD80" s="65"/>
      <c r="BE80" s="65"/>
      <c r="BO80" s="65"/>
      <c r="BP80" s="65"/>
      <c r="BQ80" s="65"/>
      <c r="BR80" s="74"/>
      <c r="BS80" s="66"/>
      <c r="BT80" s="62"/>
      <c r="BU80" s="63"/>
      <c r="BV80" s="65"/>
      <c r="BW80" s="65"/>
      <c r="BX80" s="18"/>
      <c r="BY80" s="18"/>
      <c r="BZ80" s="18"/>
      <c r="CA80" s="68"/>
      <c r="CB80" s="62"/>
      <c r="CC80" s="65"/>
      <c r="CD80" s="62"/>
    </row>
    <row r="81" spans="35:82" ht="3" customHeight="1">
      <c r="AI81" s="65"/>
      <c r="AJ81" s="65"/>
      <c r="AK81" s="65"/>
      <c r="AL81" s="65"/>
      <c r="AM81" s="65"/>
      <c r="AN81" s="18"/>
      <c r="AO81" s="66"/>
      <c r="AP81" s="64"/>
      <c r="AQ81" s="64"/>
      <c r="AR81" s="64"/>
      <c r="AS81" s="64"/>
      <c r="AT81" s="64"/>
      <c r="AU81" s="64"/>
      <c r="AV81" s="64"/>
      <c r="AW81" s="64"/>
      <c r="AX81" s="64"/>
      <c r="AY81" s="64"/>
      <c r="AZ81" s="64"/>
      <c r="BA81" s="65"/>
      <c r="BB81" s="65"/>
      <c r="BC81" s="65"/>
      <c r="BD81" s="65"/>
      <c r="BE81" s="65"/>
      <c r="BO81" s="65"/>
      <c r="BP81" s="65"/>
      <c r="BQ81" s="65"/>
      <c r="BR81" s="74"/>
      <c r="BS81" s="66"/>
      <c r="BT81" s="62"/>
      <c r="BU81" s="63"/>
      <c r="BV81" s="65"/>
      <c r="BW81" s="65"/>
      <c r="BX81" s="18"/>
      <c r="BY81" s="18"/>
      <c r="BZ81" s="18"/>
      <c r="CA81" s="68"/>
      <c r="CB81" s="62"/>
      <c r="CC81" s="65"/>
      <c r="CD81" s="62"/>
    </row>
    <row r="82" spans="35:82" ht="12.75">
      <c r="AI82" s="65"/>
      <c r="AJ82" s="65"/>
      <c r="AK82" s="65"/>
      <c r="AL82" s="65"/>
      <c r="AM82" s="65"/>
      <c r="AN82" s="18"/>
      <c r="AO82" s="66"/>
      <c r="AP82" s="64"/>
      <c r="AQ82" s="64"/>
      <c r="AR82" s="64"/>
      <c r="AS82" s="64"/>
      <c r="AT82" s="64"/>
      <c r="AU82" s="64"/>
      <c r="AV82" s="64"/>
      <c r="AW82" s="64"/>
      <c r="AX82" s="64"/>
      <c r="AY82" s="64"/>
      <c r="AZ82" s="64"/>
      <c r="BA82" s="65"/>
      <c r="BB82" s="65"/>
      <c r="BC82" s="65"/>
      <c r="BD82" s="65"/>
      <c r="BE82" s="65"/>
      <c r="BO82" s="65"/>
      <c r="BP82" s="65"/>
      <c r="BQ82" s="65"/>
      <c r="BR82" s="164"/>
      <c r="BS82" s="66"/>
      <c r="BT82" s="163"/>
      <c r="BU82" s="64"/>
      <c r="BV82" s="65"/>
      <c r="BW82" s="65"/>
      <c r="BX82" s="18"/>
      <c r="BY82" s="18"/>
      <c r="BZ82" s="18"/>
      <c r="CA82" s="68"/>
      <c r="CB82" s="163"/>
      <c r="CC82" s="65"/>
      <c r="CD82" s="163"/>
    </row>
    <row r="83" spans="35:82" ht="3" customHeight="1">
      <c r="AI83" s="65"/>
      <c r="AJ83" s="65"/>
      <c r="AK83" s="65"/>
      <c r="AL83" s="65"/>
      <c r="AM83" s="65"/>
      <c r="AN83" s="18"/>
      <c r="AO83" s="66"/>
      <c r="AP83" s="64"/>
      <c r="AQ83" s="64"/>
      <c r="AR83" s="64"/>
      <c r="AS83" s="64"/>
      <c r="AT83" s="64"/>
      <c r="AU83" s="64"/>
      <c r="AV83" s="64"/>
      <c r="AW83" s="64"/>
      <c r="AX83" s="64"/>
      <c r="AY83" s="64"/>
      <c r="AZ83" s="64"/>
      <c r="BA83" s="65"/>
      <c r="BB83" s="65"/>
      <c r="BC83" s="65"/>
      <c r="BD83" s="65"/>
      <c r="BE83" s="65"/>
      <c r="BO83" s="65"/>
      <c r="BP83" s="65"/>
      <c r="BQ83" s="65"/>
      <c r="BR83" s="74"/>
      <c r="BS83" s="66"/>
      <c r="BT83" s="62"/>
      <c r="BU83" s="64"/>
      <c r="BV83" s="65"/>
      <c r="BW83" s="65"/>
      <c r="BX83" s="64"/>
      <c r="BY83" s="64"/>
      <c r="BZ83" s="64"/>
      <c r="CA83" s="64"/>
      <c r="CB83" s="62"/>
      <c r="CC83" s="65"/>
      <c r="CD83" s="62"/>
    </row>
    <row r="84" spans="35:82" ht="12.75">
      <c r="AI84" s="65"/>
      <c r="AJ84" s="65"/>
      <c r="AK84" s="65"/>
      <c r="AL84" s="65"/>
      <c r="AM84" s="65"/>
      <c r="AN84" s="18"/>
      <c r="AO84" s="66"/>
      <c r="AP84" s="64"/>
      <c r="AQ84" s="64"/>
      <c r="AR84" s="64"/>
      <c r="AS84" s="64"/>
      <c r="AT84" s="64"/>
      <c r="AU84" s="64"/>
      <c r="AV84" s="64"/>
      <c r="AW84" s="64"/>
      <c r="AX84" s="64"/>
      <c r="AY84" s="64"/>
      <c r="AZ84" s="64"/>
      <c r="BA84" s="65"/>
      <c r="BB84" s="65"/>
      <c r="BC84" s="65"/>
      <c r="BD84" s="65"/>
      <c r="BE84" s="65"/>
      <c r="BO84" s="65"/>
      <c r="BP84" s="65"/>
      <c r="BQ84" s="65"/>
      <c r="BR84" s="74"/>
      <c r="BS84" s="66"/>
      <c r="BT84" s="62"/>
      <c r="BU84" s="63"/>
      <c r="BV84" s="65"/>
      <c r="BW84" s="65"/>
      <c r="BX84" s="18"/>
      <c r="BY84" s="18"/>
      <c r="BZ84" s="18"/>
      <c r="CA84" s="65"/>
      <c r="CB84" s="62"/>
      <c r="CC84" s="65"/>
      <c r="CD84" s="62"/>
    </row>
    <row r="85" spans="35:82" ht="3" customHeight="1">
      <c r="AI85" s="65"/>
      <c r="AJ85" s="65"/>
      <c r="AK85" s="65"/>
      <c r="AL85" s="65"/>
      <c r="AM85" s="65"/>
      <c r="AN85" s="18"/>
      <c r="AO85" s="66"/>
      <c r="AP85" s="64"/>
      <c r="AQ85" s="64"/>
      <c r="AR85" s="64"/>
      <c r="AS85" s="64"/>
      <c r="AT85" s="64"/>
      <c r="AU85" s="64"/>
      <c r="AV85" s="64"/>
      <c r="AW85" s="64"/>
      <c r="AX85" s="64"/>
      <c r="AY85" s="64"/>
      <c r="AZ85" s="64"/>
      <c r="BA85" s="65"/>
      <c r="BB85" s="65"/>
      <c r="BC85" s="65"/>
      <c r="BD85" s="65"/>
      <c r="BE85" s="65"/>
      <c r="BO85" s="65"/>
      <c r="BP85" s="65"/>
      <c r="BQ85" s="65"/>
      <c r="BR85" s="74"/>
      <c r="BS85" s="66"/>
      <c r="BT85" s="62"/>
      <c r="BU85" s="64"/>
      <c r="BV85" s="65"/>
      <c r="BW85" s="65"/>
      <c r="BX85" s="64"/>
      <c r="BY85" s="65"/>
      <c r="BZ85" s="65"/>
      <c r="CA85" s="65"/>
      <c r="CB85" s="62"/>
      <c r="CC85" s="65"/>
      <c r="CD85" s="62"/>
    </row>
    <row r="86" spans="35:82" ht="12.75">
      <c r="AI86" s="65"/>
      <c r="AJ86" s="65"/>
      <c r="AK86" s="65"/>
      <c r="AL86" s="65"/>
      <c r="AM86" s="65"/>
      <c r="AN86" s="18"/>
      <c r="AO86" s="66"/>
      <c r="AP86" s="64"/>
      <c r="AQ86" s="64"/>
      <c r="AR86" s="64"/>
      <c r="AS86" s="64"/>
      <c r="AT86" s="64"/>
      <c r="AU86" s="64"/>
      <c r="AV86" s="64"/>
      <c r="AW86" s="64"/>
      <c r="AX86" s="64"/>
      <c r="AY86" s="64"/>
      <c r="AZ86" s="64"/>
      <c r="BA86" s="65"/>
      <c r="BB86" s="65"/>
      <c r="BC86" s="65"/>
      <c r="BD86" s="65"/>
      <c r="BE86" s="65"/>
      <c r="BO86" s="65"/>
      <c r="BP86" s="65"/>
      <c r="BQ86" s="65"/>
      <c r="BR86" s="164"/>
      <c r="BS86" s="66"/>
      <c r="BT86" s="163"/>
      <c r="BU86" s="64"/>
      <c r="BV86" s="65"/>
      <c r="BW86" s="65"/>
      <c r="BX86" s="18"/>
      <c r="BY86" s="18"/>
      <c r="BZ86" s="18"/>
      <c r="CA86" s="65"/>
      <c r="CB86" s="163"/>
      <c r="CC86" s="65"/>
      <c r="CD86" s="163"/>
    </row>
    <row r="87" spans="35:82" ht="3" customHeight="1">
      <c r="AI87" s="65"/>
      <c r="AJ87" s="65"/>
      <c r="AK87" s="65"/>
      <c r="AL87" s="65"/>
      <c r="AM87" s="65"/>
      <c r="AN87" s="18"/>
      <c r="AO87" s="66"/>
      <c r="AP87" s="64"/>
      <c r="AQ87" s="64"/>
      <c r="AR87" s="64"/>
      <c r="AS87" s="64"/>
      <c r="AT87" s="64"/>
      <c r="AU87" s="64"/>
      <c r="AV87" s="64"/>
      <c r="AW87" s="64"/>
      <c r="AX87" s="64"/>
      <c r="AY87" s="64"/>
      <c r="AZ87" s="64"/>
      <c r="BA87" s="65"/>
      <c r="BB87" s="65"/>
      <c r="BC87" s="65"/>
      <c r="BD87" s="65"/>
      <c r="BE87" s="65"/>
      <c r="BO87" s="65"/>
      <c r="BP87" s="65"/>
      <c r="BQ87" s="65"/>
      <c r="BR87" s="165"/>
      <c r="BS87" s="66"/>
      <c r="BT87" s="64"/>
      <c r="BU87" s="64"/>
      <c r="BV87" s="65"/>
      <c r="BW87" s="65"/>
      <c r="BX87" s="64"/>
      <c r="BY87" s="64"/>
      <c r="BZ87" s="64"/>
      <c r="CA87" s="64"/>
      <c r="CB87" s="64"/>
      <c r="CC87" s="65"/>
      <c r="CD87" s="64"/>
    </row>
    <row r="88" spans="35:82" ht="12.75">
      <c r="AI88" s="65"/>
      <c r="AJ88" s="65"/>
      <c r="AK88" s="65"/>
      <c r="AL88" s="65"/>
      <c r="AM88" s="65"/>
      <c r="AN88" s="18"/>
      <c r="AO88" s="66"/>
      <c r="AP88" s="64"/>
      <c r="AQ88" s="64"/>
      <c r="AR88" s="64"/>
      <c r="AS88" s="64"/>
      <c r="AT88" s="64"/>
      <c r="AU88" s="64"/>
      <c r="AV88" s="64"/>
      <c r="AW88" s="64"/>
      <c r="AX88" s="64"/>
      <c r="AY88" s="64"/>
      <c r="AZ88" s="64"/>
      <c r="BA88" s="65"/>
      <c r="BB88" s="65"/>
      <c r="BC88" s="65"/>
      <c r="BD88" s="65"/>
      <c r="BE88" s="65"/>
      <c r="BO88" s="65"/>
      <c r="BP88" s="65"/>
      <c r="BQ88" s="65"/>
      <c r="BR88" s="164"/>
      <c r="BS88" s="66"/>
      <c r="BT88" s="163"/>
      <c r="BU88" s="64"/>
      <c r="BV88" s="65"/>
      <c r="BW88" s="65"/>
      <c r="BX88" s="18"/>
      <c r="BY88" s="18"/>
      <c r="BZ88" s="18"/>
      <c r="CA88" s="18"/>
      <c r="CB88" s="163"/>
      <c r="CC88" s="65"/>
      <c r="CD88" s="163"/>
    </row>
    <row r="89" spans="35:82" ht="3" customHeight="1">
      <c r="AI89" s="65"/>
      <c r="AJ89" s="65"/>
      <c r="AK89" s="65"/>
      <c r="AL89" s="65"/>
      <c r="AM89" s="65"/>
      <c r="AN89" s="18"/>
      <c r="AO89" s="66"/>
      <c r="AP89" s="64"/>
      <c r="AQ89" s="64"/>
      <c r="AR89" s="64"/>
      <c r="AS89" s="64"/>
      <c r="AT89" s="64"/>
      <c r="AU89" s="64"/>
      <c r="AV89" s="64"/>
      <c r="AW89" s="64"/>
      <c r="AX89" s="64"/>
      <c r="AY89" s="64"/>
      <c r="AZ89" s="64"/>
      <c r="BA89" s="65"/>
      <c r="BB89" s="65"/>
      <c r="BC89" s="65"/>
      <c r="BD89" s="65"/>
      <c r="BE89" s="65"/>
      <c r="BO89" s="65"/>
      <c r="BP89" s="65"/>
      <c r="BQ89" s="65"/>
      <c r="BR89" s="74"/>
      <c r="BS89" s="66"/>
      <c r="BT89" s="62"/>
      <c r="BU89" s="64"/>
      <c r="BV89" s="65"/>
      <c r="BW89" s="65"/>
      <c r="BX89" s="18"/>
      <c r="BY89" s="18"/>
      <c r="BZ89" s="18"/>
      <c r="CA89" s="18"/>
      <c r="CB89" s="62"/>
      <c r="CC89" s="65"/>
      <c r="CD89" s="62"/>
    </row>
    <row r="90" spans="35:82" ht="12.75">
      <c r="AI90" s="65"/>
      <c r="AJ90" s="65"/>
      <c r="AK90" s="65"/>
      <c r="AL90" s="65"/>
      <c r="AM90" s="65"/>
      <c r="AN90" s="18"/>
      <c r="AO90" s="66"/>
      <c r="AP90" s="64"/>
      <c r="AQ90" s="64"/>
      <c r="AR90" s="64"/>
      <c r="AS90" s="64"/>
      <c r="AT90" s="64"/>
      <c r="AU90" s="64"/>
      <c r="AV90" s="64"/>
      <c r="AW90" s="64"/>
      <c r="AX90" s="64"/>
      <c r="AY90" s="64"/>
      <c r="AZ90" s="64"/>
      <c r="BA90" s="65"/>
      <c r="BB90" s="65"/>
      <c r="BC90" s="65"/>
      <c r="BD90" s="65"/>
      <c r="BE90" s="65"/>
      <c r="BO90" s="65"/>
      <c r="BP90" s="65"/>
      <c r="BQ90" s="65"/>
      <c r="BR90" s="74"/>
      <c r="BS90" s="66"/>
      <c r="BT90" s="62"/>
      <c r="BU90" s="63"/>
      <c r="BV90" s="65"/>
      <c r="BW90" s="65"/>
      <c r="BX90" s="18"/>
      <c r="BY90" s="18"/>
      <c r="BZ90" s="18"/>
      <c r="CA90" s="68"/>
      <c r="CB90" s="62"/>
      <c r="CC90" s="65"/>
      <c r="CD90" s="62"/>
    </row>
    <row r="91" spans="35:82" ht="3" customHeight="1">
      <c r="AI91" s="65"/>
      <c r="AJ91" s="65"/>
      <c r="AK91" s="65"/>
      <c r="AL91" s="65"/>
      <c r="AM91" s="65"/>
      <c r="AN91" s="18"/>
      <c r="AO91" s="66"/>
      <c r="AP91" s="64"/>
      <c r="AQ91" s="64"/>
      <c r="AR91" s="64"/>
      <c r="AS91" s="64"/>
      <c r="AT91" s="64"/>
      <c r="AU91" s="64"/>
      <c r="AV91" s="64"/>
      <c r="AW91" s="64"/>
      <c r="AX91" s="64"/>
      <c r="AY91" s="64"/>
      <c r="AZ91" s="64"/>
      <c r="BA91" s="65"/>
      <c r="BB91" s="65"/>
      <c r="BC91" s="65"/>
      <c r="BD91" s="65"/>
      <c r="BE91" s="65"/>
      <c r="BO91" s="65"/>
      <c r="BP91" s="65"/>
      <c r="BQ91" s="65"/>
      <c r="BR91" s="74"/>
      <c r="BS91" s="66"/>
      <c r="BT91" s="62"/>
      <c r="BU91" s="63"/>
      <c r="BV91" s="65"/>
      <c r="BW91" s="65"/>
      <c r="BX91" s="18"/>
      <c r="BY91" s="18"/>
      <c r="BZ91" s="18"/>
      <c r="CA91" s="68"/>
      <c r="CB91" s="62"/>
      <c r="CC91" s="65"/>
      <c r="CD91" s="62"/>
    </row>
    <row r="92" spans="35:82" ht="12.75">
      <c r="AI92" s="65"/>
      <c r="AJ92" s="65"/>
      <c r="AK92" s="65"/>
      <c r="AL92" s="65"/>
      <c r="AM92" s="65"/>
      <c r="AN92" s="18"/>
      <c r="AO92" s="66"/>
      <c r="AP92" s="64"/>
      <c r="AQ92" s="64"/>
      <c r="AR92" s="64"/>
      <c r="AS92" s="64"/>
      <c r="AT92" s="64"/>
      <c r="AU92" s="64"/>
      <c r="AV92" s="64"/>
      <c r="AW92" s="64"/>
      <c r="AX92" s="64"/>
      <c r="AY92" s="64"/>
      <c r="AZ92" s="64"/>
      <c r="BA92" s="65"/>
      <c r="BB92" s="65"/>
      <c r="BC92" s="65"/>
      <c r="BD92" s="65"/>
      <c r="BE92" s="65"/>
      <c r="BO92" s="65"/>
      <c r="BP92" s="65"/>
      <c r="BQ92" s="65"/>
      <c r="BR92" s="164"/>
      <c r="BS92" s="66"/>
      <c r="BT92" s="163"/>
      <c r="BU92" s="64"/>
      <c r="BV92" s="65"/>
      <c r="BW92" s="65"/>
      <c r="BX92" s="18"/>
      <c r="BY92" s="18"/>
      <c r="BZ92" s="18"/>
      <c r="CA92" s="68"/>
      <c r="CB92" s="163"/>
      <c r="CC92" s="65"/>
      <c r="CD92" s="163"/>
    </row>
    <row r="93" spans="35:82" ht="3" customHeight="1">
      <c r="AI93" s="65"/>
      <c r="AJ93" s="65"/>
      <c r="AK93" s="65"/>
      <c r="AL93" s="65"/>
      <c r="AM93" s="65"/>
      <c r="AN93" s="18"/>
      <c r="AO93" s="66"/>
      <c r="AP93" s="64"/>
      <c r="AQ93" s="64"/>
      <c r="AR93" s="64"/>
      <c r="AS93" s="64"/>
      <c r="AT93" s="64"/>
      <c r="AU93" s="64"/>
      <c r="AV93" s="64"/>
      <c r="AW93" s="64"/>
      <c r="AX93" s="64"/>
      <c r="AY93" s="64"/>
      <c r="AZ93" s="64"/>
      <c r="BA93" s="65"/>
      <c r="BB93" s="65"/>
      <c r="BC93" s="65"/>
      <c r="BD93" s="65"/>
      <c r="BE93" s="65"/>
      <c r="BO93" s="65"/>
      <c r="BP93" s="65"/>
      <c r="BQ93" s="65"/>
      <c r="BR93" s="74"/>
      <c r="BS93" s="66"/>
      <c r="BT93" s="62"/>
      <c r="BU93" s="64"/>
      <c r="BV93" s="65"/>
      <c r="BW93" s="65"/>
      <c r="BX93" s="64"/>
      <c r="BY93" s="64"/>
      <c r="BZ93" s="64"/>
      <c r="CA93" s="64"/>
      <c r="CB93" s="62"/>
      <c r="CC93" s="65"/>
      <c r="CD93" s="62"/>
    </row>
    <row r="94" spans="35:82" ht="12.75">
      <c r="AI94" s="65"/>
      <c r="AJ94" s="65"/>
      <c r="AK94" s="65"/>
      <c r="AL94" s="65"/>
      <c r="AM94" s="65"/>
      <c r="AN94" s="18"/>
      <c r="AO94" s="66"/>
      <c r="AP94" s="64"/>
      <c r="AQ94" s="64"/>
      <c r="AR94" s="64"/>
      <c r="AS94" s="64"/>
      <c r="AT94" s="64"/>
      <c r="AU94" s="64"/>
      <c r="AV94" s="64"/>
      <c r="AW94" s="64"/>
      <c r="AX94" s="64"/>
      <c r="AY94" s="64"/>
      <c r="AZ94" s="64"/>
      <c r="BA94" s="65"/>
      <c r="BB94" s="65"/>
      <c r="BC94" s="65"/>
      <c r="BD94" s="65"/>
      <c r="BE94" s="65"/>
      <c r="BO94" s="65"/>
      <c r="BP94" s="65"/>
      <c r="BQ94" s="65"/>
      <c r="BR94" s="74"/>
      <c r="BS94" s="66"/>
      <c r="BT94" s="62"/>
      <c r="BU94" s="63"/>
      <c r="BV94" s="65"/>
      <c r="BW94" s="65"/>
      <c r="BX94" s="18"/>
      <c r="BY94" s="18"/>
      <c r="BZ94" s="18"/>
      <c r="CA94" s="65"/>
      <c r="CB94" s="62"/>
      <c r="CC94" s="65"/>
      <c r="CD94" s="62"/>
    </row>
    <row r="95" spans="35:82" ht="3" customHeight="1">
      <c r="AI95" s="65"/>
      <c r="AJ95" s="65"/>
      <c r="AK95" s="65"/>
      <c r="AL95" s="65"/>
      <c r="AM95" s="65"/>
      <c r="AN95" s="18"/>
      <c r="AO95" s="66"/>
      <c r="AP95" s="64"/>
      <c r="AQ95" s="64"/>
      <c r="AR95" s="64"/>
      <c r="AS95" s="64"/>
      <c r="AT95" s="64"/>
      <c r="AU95" s="64"/>
      <c r="AV95" s="64"/>
      <c r="AW95" s="64"/>
      <c r="AX95" s="64"/>
      <c r="AY95" s="64"/>
      <c r="AZ95" s="64"/>
      <c r="BA95" s="65"/>
      <c r="BB95" s="65"/>
      <c r="BC95" s="65"/>
      <c r="BD95" s="65"/>
      <c r="BE95" s="65"/>
      <c r="BO95" s="65"/>
      <c r="BP95" s="65"/>
      <c r="BQ95" s="65"/>
      <c r="BR95" s="74"/>
      <c r="BS95" s="66"/>
      <c r="BT95" s="62"/>
      <c r="BU95" s="64"/>
      <c r="BV95" s="65"/>
      <c r="BW95" s="65"/>
      <c r="BX95" s="64"/>
      <c r="BY95" s="65"/>
      <c r="BZ95" s="65"/>
      <c r="CA95" s="65"/>
      <c r="CB95" s="62"/>
      <c r="CC95" s="65"/>
      <c r="CD95" s="62"/>
    </row>
    <row r="96" spans="35:82" ht="12.75">
      <c r="AI96" s="65"/>
      <c r="AJ96" s="65"/>
      <c r="AK96" s="65"/>
      <c r="AL96" s="65"/>
      <c r="AM96" s="65"/>
      <c r="AN96" s="18"/>
      <c r="AO96" s="66"/>
      <c r="AP96" s="64"/>
      <c r="AQ96" s="64"/>
      <c r="AR96" s="64"/>
      <c r="AS96" s="64"/>
      <c r="AT96" s="64"/>
      <c r="AU96" s="64"/>
      <c r="AV96" s="64"/>
      <c r="AW96" s="64"/>
      <c r="AX96" s="64"/>
      <c r="AY96" s="64"/>
      <c r="AZ96" s="64"/>
      <c r="BA96" s="65"/>
      <c r="BB96" s="65"/>
      <c r="BC96" s="65"/>
      <c r="BD96" s="65"/>
      <c r="BE96" s="65"/>
      <c r="BO96" s="65"/>
      <c r="BP96" s="65"/>
      <c r="BQ96" s="65"/>
      <c r="BR96" s="164"/>
      <c r="BS96" s="66"/>
      <c r="BT96" s="163"/>
      <c r="BU96" s="64"/>
      <c r="BV96" s="65"/>
      <c r="BW96" s="65"/>
      <c r="BX96" s="18"/>
      <c r="BY96" s="18"/>
      <c r="BZ96" s="18"/>
      <c r="CA96" s="65"/>
      <c r="CB96" s="163"/>
      <c r="CC96" s="65"/>
      <c r="CD96" s="163"/>
    </row>
    <row r="97" spans="35:82" ht="3" customHeight="1">
      <c r="AI97" s="65"/>
      <c r="AJ97" s="65"/>
      <c r="AK97" s="65"/>
      <c r="AL97" s="65"/>
      <c r="AM97" s="65"/>
      <c r="AN97" s="18"/>
      <c r="AO97" s="66"/>
      <c r="AP97" s="64"/>
      <c r="AQ97" s="64"/>
      <c r="AR97" s="64"/>
      <c r="AS97" s="64"/>
      <c r="AT97" s="64"/>
      <c r="AU97" s="64"/>
      <c r="AV97" s="64"/>
      <c r="AW97" s="64"/>
      <c r="AX97" s="64"/>
      <c r="AY97" s="64"/>
      <c r="AZ97" s="64"/>
      <c r="BA97" s="65"/>
      <c r="BB97" s="65"/>
      <c r="BC97" s="65"/>
      <c r="BD97" s="65"/>
      <c r="BE97" s="65"/>
      <c r="BO97" s="65"/>
      <c r="BP97" s="65"/>
      <c r="BQ97" s="65"/>
      <c r="BR97" s="165"/>
      <c r="BS97" s="66"/>
      <c r="BT97" s="64"/>
      <c r="BU97" s="64"/>
      <c r="BV97" s="65"/>
      <c r="BW97" s="65"/>
      <c r="BX97" s="64"/>
      <c r="BY97" s="64"/>
      <c r="BZ97" s="64"/>
      <c r="CA97" s="64"/>
      <c r="CB97" s="64"/>
      <c r="CC97" s="65"/>
      <c r="CD97" s="64"/>
    </row>
    <row r="98" spans="35:82" ht="12.75">
      <c r="AI98" s="65"/>
      <c r="AJ98" s="65"/>
      <c r="AK98" s="65"/>
      <c r="AL98" s="65"/>
      <c r="AM98" s="65"/>
      <c r="AN98" s="18"/>
      <c r="AO98" s="66"/>
      <c r="AP98" s="64"/>
      <c r="AQ98" s="64"/>
      <c r="AR98" s="64"/>
      <c r="AS98" s="64"/>
      <c r="AT98" s="64"/>
      <c r="AU98" s="64"/>
      <c r="AV98" s="64"/>
      <c r="AW98" s="64"/>
      <c r="AX98" s="64"/>
      <c r="AY98" s="64"/>
      <c r="AZ98" s="64"/>
      <c r="BA98" s="65"/>
      <c r="BB98" s="65"/>
      <c r="BC98" s="65"/>
      <c r="BD98" s="65"/>
      <c r="BE98" s="65"/>
      <c r="BO98" s="65"/>
      <c r="BP98" s="65"/>
      <c r="BQ98" s="65"/>
      <c r="BR98" s="164"/>
      <c r="BS98" s="66"/>
      <c r="BT98" s="163"/>
      <c r="BU98" s="64"/>
      <c r="BV98" s="65"/>
      <c r="BW98" s="65"/>
      <c r="BX98" s="18"/>
      <c r="BY98" s="18"/>
      <c r="BZ98" s="18"/>
      <c r="CA98" s="18"/>
      <c r="CB98" s="163"/>
      <c r="CC98" s="65"/>
      <c r="CD98" s="163"/>
    </row>
    <row r="99" spans="35:82" ht="3" customHeight="1">
      <c r="AI99" s="65"/>
      <c r="AJ99" s="65"/>
      <c r="AK99" s="65"/>
      <c r="AL99" s="65"/>
      <c r="AM99" s="65"/>
      <c r="AN99" s="18"/>
      <c r="AO99" s="66"/>
      <c r="AP99" s="64"/>
      <c r="AQ99" s="64"/>
      <c r="AR99" s="64"/>
      <c r="AS99" s="64"/>
      <c r="AT99" s="64"/>
      <c r="AU99" s="64"/>
      <c r="AV99" s="64"/>
      <c r="AW99" s="64"/>
      <c r="AX99" s="64"/>
      <c r="AY99" s="64"/>
      <c r="AZ99" s="64"/>
      <c r="BA99" s="65"/>
      <c r="BB99" s="65"/>
      <c r="BC99" s="65"/>
      <c r="BD99" s="65"/>
      <c r="BE99" s="65"/>
      <c r="BO99" s="65"/>
      <c r="BP99" s="65"/>
      <c r="BQ99" s="65"/>
      <c r="BR99" s="74"/>
      <c r="BS99" s="66"/>
      <c r="BT99" s="62"/>
      <c r="BU99" s="64"/>
      <c r="BV99" s="65"/>
      <c r="BW99" s="65"/>
      <c r="BX99" s="18"/>
      <c r="BY99" s="18"/>
      <c r="BZ99" s="18"/>
      <c r="CA99" s="18"/>
      <c r="CB99" s="62"/>
      <c r="CC99" s="65"/>
      <c r="CD99" s="62"/>
    </row>
    <row r="100" spans="35:82" ht="12.75">
      <c r="AI100" s="65"/>
      <c r="AJ100" s="65"/>
      <c r="AK100" s="65"/>
      <c r="AL100" s="65"/>
      <c r="AM100" s="65"/>
      <c r="AN100" s="18"/>
      <c r="AO100" s="66"/>
      <c r="AP100" s="64"/>
      <c r="AQ100" s="64"/>
      <c r="AR100" s="64"/>
      <c r="AS100" s="64"/>
      <c r="AT100" s="64"/>
      <c r="AU100" s="64"/>
      <c r="AV100" s="64"/>
      <c r="AW100" s="64"/>
      <c r="AX100" s="64"/>
      <c r="AY100" s="64"/>
      <c r="AZ100" s="64"/>
      <c r="BA100" s="65"/>
      <c r="BB100" s="65"/>
      <c r="BC100" s="65"/>
      <c r="BD100" s="65"/>
      <c r="BE100" s="65"/>
      <c r="BO100" s="65"/>
      <c r="BP100" s="65"/>
      <c r="BQ100" s="65"/>
      <c r="BR100" s="74"/>
      <c r="BS100" s="66"/>
      <c r="BT100" s="62"/>
      <c r="BU100" s="63"/>
      <c r="BV100" s="65"/>
      <c r="BW100" s="65"/>
      <c r="BX100" s="18"/>
      <c r="BY100" s="18"/>
      <c r="BZ100" s="18"/>
      <c r="CA100" s="68"/>
      <c r="CB100" s="62"/>
      <c r="CC100" s="65"/>
      <c r="CD100" s="62"/>
    </row>
    <row r="101" spans="35:82" ht="12.75">
      <c r="AI101" s="65"/>
      <c r="AJ101" s="65"/>
      <c r="AK101" s="65"/>
      <c r="AL101" s="65"/>
      <c r="AM101" s="65"/>
      <c r="AN101" s="18"/>
      <c r="AO101" s="66"/>
      <c r="AP101" s="64"/>
      <c r="AQ101" s="64"/>
      <c r="AR101" s="64"/>
      <c r="AS101" s="64"/>
      <c r="AT101" s="64"/>
      <c r="AU101" s="64"/>
      <c r="AV101" s="64"/>
      <c r="AW101" s="64"/>
      <c r="AX101" s="64"/>
      <c r="AY101" s="64"/>
      <c r="AZ101" s="64"/>
      <c r="BA101" s="64"/>
      <c r="BB101" s="64"/>
      <c r="BC101" s="65"/>
      <c r="BD101" s="65"/>
      <c r="BE101" s="65"/>
      <c r="BO101" s="65"/>
      <c r="BP101" s="65"/>
      <c r="BQ101" s="65"/>
      <c r="BR101" s="65"/>
      <c r="BS101" s="65"/>
      <c r="BT101" s="65"/>
      <c r="BU101" s="65"/>
      <c r="BV101" s="65"/>
      <c r="BW101" s="65"/>
      <c r="BX101" s="65"/>
      <c r="BY101" s="65"/>
      <c r="BZ101" s="65"/>
      <c r="CA101" s="65"/>
      <c r="CB101" s="65"/>
      <c r="CC101" s="65"/>
      <c r="CD101" s="65"/>
    </row>
    <row r="102" spans="35:82" ht="12.75">
      <c r="AI102" s="65"/>
      <c r="AJ102" s="65"/>
      <c r="AK102" s="65"/>
      <c r="AL102" s="65"/>
      <c r="AM102" s="65"/>
      <c r="AN102" s="18"/>
      <c r="AO102" s="66"/>
      <c r="AP102" s="64"/>
      <c r="AQ102" s="64"/>
      <c r="AR102" s="64"/>
      <c r="AS102" s="64"/>
      <c r="AT102" s="64"/>
      <c r="AU102" s="64"/>
      <c r="AV102" s="64"/>
      <c r="AW102" s="64"/>
      <c r="AX102" s="64"/>
      <c r="AY102" s="64"/>
      <c r="AZ102" s="64"/>
      <c r="BA102" s="64"/>
      <c r="BB102" s="64"/>
      <c r="BC102" s="65"/>
      <c r="BD102" s="65"/>
      <c r="BE102" s="65"/>
      <c r="BO102" s="65"/>
      <c r="BP102" s="65"/>
      <c r="BQ102" s="65"/>
      <c r="BR102" s="65"/>
      <c r="BS102" s="65"/>
      <c r="BT102" s="65"/>
      <c r="BU102" s="65"/>
      <c r="BV102" s="65"/>
      <c r="BW102" s="65"/>
      <c r="BX102" s="65"/>
      <c r="BY102" s="65"/>
      <c r="BZ102" s="65"/>
      <c r="CA102" s="65"/>
      <c r="CB102" s="65"/>
      <c r="CC102" s="65"/>
      <c r="CD102" s="65"/>
    </row>
    <row r="103" spans="35:82" ht="12.75">
      <c r="AI103" s="65"/>
      <c r="AJ103" s="65"/>
      <c r="AK103" s="65"/>
      <c r="AL103" s="65"/>
      <c r="AM103" s="65"/>
      <c r="AN103" s="18"/>
      <c r="AO103" s="66"/>
      <c r="AP103" s="64"/>
      <c r="AQ103" s="64"/>
      <c r="AR103" s="64"/>
      <c r="AS103" s="64"/>
      <c r="AT103" s="64"/>
      <c r="AU103" s="64"/>
      <c r="AV103" s="64"/>
      <c r="AW103" s="64"/>
      <c r="AX103" s="64"/>
      <c r="AY103" s="64"/>
      <c r="AZ103" s="64"/>
      <c r="BA103" s="64"/>
      <c r="BB103" s="64"/>
      <c r="BC103" s="65"/>
      <c r="BD103" s="65"/>
      <c r="BE103" s="65"/>
      <c r="BO103" s="65"/>
      <c r="BP103" s="65"/>
      <c r="BQ103" s="65"/>
      <c r="BR103" s="65"/>
      <c r="BS103" s="65"/>
      <c r="BT103" s="65"/>
      <c r="BU103" s="65"/>
      <c r="BV103" s="65"/>
      <c r="BW103" s="65"/>
      <c r="BX103" s="65"/>
      <c r="BY103" s="65"/>
      <c r="BZ103" s="65"/>
      <c r="CA103" s="65"/>
      <c r="CB103" s="65"/>
      <c r="CC103" s="65"/>
      <c r="CD103" s="65"/>
    </row>
    <row r="104" spans="35:82" ht="12.75">
      <c r="AI104" s="65"/>
      <c r="AJ104" s="65"/>
      <c r="AK104" s="65"/>
      <c r="AL104" s="65"/>
      <c r="AM104" s="65"/>
      <c r="AN104" s="18"/>
      <c r="AO104" s="66"/>
      <c r="AP104" s="64"/>
      <c r="AQ104" s="64"/>
      <c r="AR104" s="64"/>
      <c r="AS104" s="64"/>
      <c r="AT104" s="64"/>
      <c r="AU104" s="64"/>
      <c r="AV104" s="64"/>
      <c r="AW104" s="64"/>
      <c r="AX104" s="64"/>
      <c r="AY104" s="64"/>
      <c r="AZ104" s="64"/>
      <c r="BA104" s="64"/>
      <c r="BB104" s="64"/>
      <c r="BC104" s="65"/>
      <c r="BD104" s="65"/>
      <c r="BE104" s="65"/>
      <c r="BO104" s="65"/>
      <c r="BP104" s="65"/>
      <c r="BQ104" s="65"/>
      <c r="BR104" s="65"/>
      <c r="BS104" s="65"/>
      <c r="BT104" s="65"/>
      <c r="BU104" s="65"/>
      <c r="BV104" s="65"/>
      <c r="BW104" s="65"/>
      <c r="BX104" s="65"/>
      <c r="BY104" s="65"/>
      <c r="BZ104" s="65"/>
      <c r="CA104" s="65"/>
      <c r="CB104" s="65"/>
      <c r="CC104" s="65"/>
      <c r="CD104" s="65"/>
    </row>
    <row r="105" spans="35:82" ht="12.75">
      <c r="AI105" s="65"/>
      <c r="AJ105" s="65"/>
      <c r="AK105" s="65"/>
      <c r="AL105" s="65"/>
      <c r="AM105" s="65"/>
      <c r="AN105" s="18"/>
      <c r="AO105" s="66"/>
      <c r="AP105" s="64"/>
      <c r="AQ105" s="64"/>
      <c r="AR105" s="64"/>
      <c r="AS105" s="64"/>
      <c r="AT105" s="64"/>
      <c r="AU105" s="64"/>
      <c r="AV105" s="64"/>
      <c r="AW105" s="64"/>
      <c r="AX105" s="64"/>
      <c r="AY105" s="64"/>
      <c r="AZ105" s="64"/>
      <c r="BA105" s="64"/>
      <c r="BB105" s="64"/>
      <c r="BC105" s="65"/>
      <c r="BD105" s="65"/>
      <c r="BE105" s="65"/>
      <c r="BS105" s="65"/>
      <c r="BT105" s="65"/>
      <c r="BU105" s="65"/>
      <c r="BV105" s="65"/>
      <c r="BW105" s="65"/>
      <c r="BX105" s="65"/>
      <c r="BY105" s="65"/>
      <c r="BZ105" s="65"/>
      <c r="CA105" s="65"/>
      <c r="CB105" s="65"/>
      <c r="CC105" s="65"/>
      <c r="CD105" s="65"/>
    </row>
    <row r="106" spans="35:82" ht="12.75">
      <c r="AI106" s="65"/>
      <c r="AJ106" s="65"/>
      <c r="AK106" s="65"/>
      <c r="AL106" s="65"/>
      <c r="AM106" s="65"/>
      <c r="AN106" s="18"/>
      <c r="AO106" s="66"/>
      <c r="AP106" s="64"/>
      <c r="AQ106" s="64"/>
      <c r="AR106" s="64"/>
      <c r="AS106" s="64"/>
      <c r="AT106" s="64"/>
      <c r="AU106" s="64"/>
      <c r="AV106" s="64"/>
      <c r="AW106" s="64"/>
      <c r="AX106" s="64"/>
      <c r="AY106" s="64"/>
      <c r="AZ106" s="64"/>
      <c r="BA106" s="64"/>
      <c r="BB106" s="64"/>
      <c r="BC106" s="65"/>
      <c r="BD106" s="65"/>
      <c r="BE106" s="65"/>
      <c r="BS106" s="65"/>
      <c r="BT106" s="65"/>
      <c r="BU106" s="65"/>
      <c r="BV106" s="65"/>
      <c r="BW106" s="65"/>
      <c r="BX106" s="65"/>
      <c r="BY106" s="65"/>
      <c r="BZ106" s="65"/>
      <c r="CA106" s="65"/>
      <c r="CB106" s="65"/>
      <c r="CC106" s="65"/>
      <c r="CD106" s="65"/>
    </row>
    <row r="107" spans="35:82" ht="12.75">
      <c r="AI107" s="65"/>
      <c r="AJ107" s="65"/>
      <c r="AK107" s="65"/>
      <c r="AL107" s="65"/>
      <c r="AM107" s="65"/>
      <c r="AN107" s="18"/>
      <c r="AO107" s="66"/>
      <c r="AP107" s="64"/>
      <c r="AQ107" s="64"/>
      <c r="AR107" s="64"/>
      <c r="AS107" s="64"/>
      <c r="AT107" s="64"/>
      <c r="AU107" s="64"/>
      <c r="AV107" s="64"/>
      <c r="AW107" s="64"/>
      <c r="AX107" s="64"/>
      <c r="AY107" s="64"/>
      <c r="AZ107" s="64"/>
      <c r="BA107" s="64"/>
      <c r="BB107" s="64"/>
      <c r="BC107" s="65"/>
      <c r="BD107" s="65"/>
      <c r="BE107" s="65"/>
      <c r="BS107" s="65"/>
      <c r="BT107" s="65"/>
      <c r="BU107" s="65"/>
      <c r="BV107" s="65"/>
      <c r="BW107" s="65"/>
      <c r="BX107" s="65"/>
      <c r="BY107" s="65"/>
      <c r="BZ107" s="65"/>
      <c r="CA107" s="65"/>
      <c r="CB107" s="65"/>
      <c r="CC107" s="65"/>
      <c r="CD107" s="65"/>
    </row>
    <row r="108" spans="35:82" ht="12.75">
      <c r="AI108" s="65"/>
      <c r="AJ108" s="65"/>
      <c r="AK108" s="65"/>
      <c r="AL108" s="65"/>
      <c r="AM108" s="65"/>
      <c r="AN108" s="18"/>
      <c r="AO108" s="66"/>
      <c r="AP108" s="64"/>
      <c r="AQ108" s="64"/>
      <c r="AR108" s="64"/>
      <c r="AS108" s="64"/>
      <c r="AT108" s="64"/>
      <c r="AU108" s="64"/>
      <c r="AV108" s="64"/>
      <c r="AW108" s="64"/>
      <c r="AX108" s="64"/>
      <c r="AY108" s="64"/>
      <c r="AZ108" s="64"/>
      <c r="BA108" s="64"/>
      <c r="BB108" s="64"/>
      <c r="BC108" s="65"/>
      <c r="BD108" s="65"/>
      <c r="BE108" s="65"/>
      <c r="BS108" s="65"/>
      <c r="BT108" s="65"/>
      <c r="BU108" s="65"/>
      <c r="BV108" s="65"/>
      <c r="BW108" s="65"/>
      <c r="BX108" s="65"/>
      <c r="BY108" s="65"/>
      <c r="BZ108" s="65"/>
      <c r="CA108" s="65"/>
      <c r="CB108" s="65"/>
      <c r="CC108" s="65"/>
      <c r="CD108" s="65"/>
    </row>
    <row r="109" spans="35:82" ht="12.75">
      <c r="AI109" s="65"/>
      <c r="AJ109" s="65"/>
      <c r="AK109" s="65"/>
      <c r="AL109" s="65"/>
      <c r="AM109" s="65"/>
      <c r="AN109" s="18"/>
      <c r="AO109" s="66"/>
      <c r="AP109" s="64"/>
      <c r="AQ109" s="64"/>
      <c r="AR109" s="64"/>
      <c r="AS109" s="64"/>
      <c r="AT109" s="64"/>
      <c r="AU109" s="64"/>
      <c r="AV109" s="64"/>
      <c r="AW109" s="64"/>
      <c r="AX109" s="64"/>
      <c r="AY109" s="64"/>
      <c r="AZ109" s="64"/>
      <c r="BA109" s="64"/>
      <c r="BB109" s="64"/>
      <c r="BC109" s="65"/>
      <c r="BD109" s="65"/>
      <c r="BE109" s="65"/>
      <c r="BS109" s="65"/>
      <c r="BT109" s="65"/>
      <c r="BU109" s="65"/>
      <c r="BV109" s="65"/>
      <c r="BW109" s="65"/>
      <c r="BX109" s="65"/>
      <c r="BY109" s="65"/>
      <c r="BZ109" s="65"/>
      <c r="CA109" s="65"/>
      <c r="CB109" s="65"/>
      <c r="CC109" s="65"/>
      <c r="CD109" s="65"/>
    </row>
    <row r="110" spans="35:82" ht="12.75">
      <c r="AI110" s="65"/>
      <c r="AJ110" s="65"/>
      <c r="AK110" s="65"/>
      <c r="AL110" s="65"/>
      <c r="AM110" s="65"/>
      <c r="AN110" s="18"/>
      <c r="AO110" s="66"/>
      <c r="AP110" s="64"/>
      <c r="AQ110" s="64"/>
      <c r="AR110" s="64"/>
      <c r="AS110" s="64"/>
      <c r="AT110" s="64"/>
      <c r="AU110" s="64"/>
      <c r="AV110" s="64"/>
      <c r="AW110" s="64"/>
      <c r="AX110" s="64"/>
      <c r="AY110" s="64"/>
      <c r="AZ110" s="64"/>
      <c r="BA110" s="64"/>
      <c r="BB110" s="64"/>
      <c r="BC110" s="65"/>
      <c r="BD110" s="65"/>
      <c r="BE110" s="65"/>
      <c r="BS110" s="65"/>
      <c r="BT110" s="65"/>
      <c r="BU110" s="65"/>
      <c r="BV110" s="65"/>
      <c r="BW110" s="65"/>
      <c r="BX110" s="65"/>
      <c r="BY110" s="65"/>
      <c r="BZ110" s="65"/>
      <c r="CA110" s="65"/>
      <c r="CB110" s="65"/>
      <c r="CC110" s="65"/>
      <c r="CD110" s="65"/>
    </row>
    <row r="111" spans="35:82" ht="12.75">
      <c r="AI111" s="65"/>
      <c r="AJ111" s="65"/>
      <c r="AK111" s="65"/>
      <c r="AL111" s="65"/>
      <c r="AM111" s="65"/>
      <c r="AN111" s="18"/>
      <c r="AO111" s="66"/>
      <c r="AP111" s="64"/>
      <c r="AQ111" s="64"/>
      <c r="AR111" s="64"/>
      <c r="AS111" s="64"/>
      <c r="AT111" s="64"/>
      <c r="AU111" s="64"/>
      <c r="AV111" s="64"/>
      <c r="AW111" s="64"/>
      <c r="AX111" s="64"/>
      <c r="AY111" s="64"/>
      <c r="AZ111" s="64"/>
      <c r="BA111" s="64"/>
      <c r="BB111" s="64"/>
      <c r="BC111" s="65"/>
      <c r="BD111" s="65"/>
      <c r="BE111" s="65"/>
      <c r="BS111" s="65"/>
      <c r="BT111" s="65"/>
      <c r="BU111" s="65"/>
      <c r="BV111" s="65"/>
      <c r="BW111" s="65"/>
      <c r="BX111" s="65"/>
      <c r="BY111" s="65"/>
      <c r="BZ111" s="65"/>
      <c r="CA111" s="65"/>
      <c r="CB111" s="65"/>
      <c r="CC111" s="65"/>
      <c r="CD111" s="65"/>
    </row>
    <row r="112" spans="35:82" ht="12.75">
      <c r="AI112" s="65"/>
      <c r="AJ112" s="65"/>
      <c r="AK112" s="65"/>
      <c r="AL112" s="65"/>
      <c r="AM112" s="65"/>
      <c r="AN112" s="18"/>
      <c r="AO112" s="66"/>
      <c r="AP112" s="64"/>
      <c r="AQ112" s="64"/>
      <c r="AR112" s="64"/>
      <c r="AS112" s="64"/>
      <c r="AT112" s="64"/>
      <c r="AU112" s="64"/>
      <c r="AV112" s="64"/>
      <c r="AW112" s="64"/>
      <c r="AX112" s="64"/>
      <c r="AY112" s="64"/>
      <c r="AZ112" s="64"/>
      <c r="BA112" s="64"/>
      <c r="BB112" s="64"/>
      <c r="BC112" s="65"/>
      <c r="BD112" s="65"/>
      <c r="BE112" s="65"/>
      <c r="BS112" s="65"/>
      <c r="BT112" s="65"/>
      <c r="BU112" s="65"/>
      <c r="BV112" s="65"/>
      <c r="BW112" s="65"/>
      <c r="BX112" s="65"/>
      <c r="BY112" s="65"/>
      <c r="BZ112" s="65"/>
      <c r="CA112" s="65"/>
      <c r="CB112" s="65"/>
      <c r="CC112" s="65"/>
      <c r="CD112" s="65"/>
    </row>
    <row r="113" spans="35:82" ht="12.75">
      <c r="AI113" s="65"/>
      <c r="AJ113" s="65"/>
      <c r="AK113" s="65"/>
      <c r="AL113" s="65"/>
      <c r="AM113" s="65"/>
      <c r="AN113" s="18"/>
      <c r="AO113" s="66"/>
      <c r="AP113" s="64"/>
      <c r="AQ113" s="64"/>
      <c r="AR113" s="64"/>
      <c r="AS113" s="64"/>
      <c r="AT113" s="64"/>
      <c r="AU113" s="64"/>
      <c r="AV113" s="64"/>
      <c r="AW113" s="64"/>
      <c r="AX113" s="64"/>
      <c r="AY113" s="64"/>
      <c r="AZ113" s="64"/>
      <c r="BA113" s="64"/>
      <c r="BB113" s="64"/>
      <c r="BC113" s="65"/>
      <c r="BD113" s="65"/>
      <c r="BE113" s="65"/>
      <c r="BS113" s="65"/>
      <c r="BT113" s="65"/>
      <c r="BU113" s="65"/>
      <c r="BV113" s="65"/>
      <c r="BW113" s="65"/>
      <c r="BX113" s="65"/>
      <c r="BY113" s="65"/>
      <c r="BZ113" s="65"/>
      <c r="CA113" s="65"/>
      <c r="CB113" s="65"/>
      <c r="CC113" s="65"/>
      <c r="CD113" s="65"/>
    </row>
    <row r="114" spans="35:82" ht="12.75">
      <c r="AI114" s="65"/>
      <c r="AJ114" s="65"/>
      <c r="AK114" s="65"/>
      <c r="AL114" s="65"/>
      <c r="AM114" s="65"/>
      <c r="AN114" s="18"/>
      <c r="AO114" s="66"/>
      <c r="AP114" s="64"/>
      <c r="AQ114" s="64"/>
      <c r="AR114" s="64"/>
      <c r="AS114" s="64"/>
      <c r="AT114" s="64"/>
      <c r="AU114" s="64"/>
      <c r="AV114" s="64"/>
      <c r="AW114" s="64"/>
      <c r="AX114" s="64"/>
      <c r="AY114" s="64"/>
      <c r="AZ114" s="64"/>
      <c r="BA114" s="64"/>
      <c r="BB114" s="64"/>
      <c r="BC114" s="65"/>
      <c r="BD114" s="65"/>
      <c r="BE114" s="65"/>
      <c r="BS114" s="65"/>
      <c r="BT114" s="65"/>
      <c r="BU114" s="65"/>
      <c r="BV114" s="65"/>
      <c r="BW114" s="65"/>
      <c r="BX114" s="65"/>
      <c r="BY114" s="65"/>
      <c r="BZ114" s="65"/>
      <c r="CA114" s="65"/>
      <c r="CB114" s="65"/>
      <c r="CC114" s="65"/>
      <c r="CD114" s="65"/>
    </row>
    <row r="115" spans="35:82" ht="12.75">
      <c r="AI115" s="65"/>
      <c r="AJ115" s="65"/>
      <c r="AK115" s="65"/>
      <c r="AL115" s="65"/>
      <c r="AM115" s="65"/>
      <c r="AN115" s="18"/>
      <c r="AO115" s="66"/>
      <c r="AP115" s="64"/>
      <c r="AQ115" s="64"/>
      <c r="AR115" s="64"/>
      <c r="AS115" s="64"/>
      <c r="AT115" s="64"/>
      <c r="AU115" s="64"/>
      <c r="AV115" s="64"/>
      <c r="AW115" s="64"/>
      <c r="AX115" s="64"/>
      <c r="AY115" s="64"/>
      <c r="AZ115" s="64"/>
      <c r="BA115" s="64"/>
      <c r="BB115" s="64"/>
      <c r="BC115" s="65"/>
      <c r="BD115" s="65"/>
      <c r="BE115" s="65"/>
      <c r="BS115" s="65"/>
      <c r="BT115" s="65"/>
      <c r="BU115" s="65"/>
      <c r="BV115" s="65"/>
      <c r="BW115" s="65"/>
      <c r="BX115" s="65"/>
      <c r="BY115" s="65"/>
      <c r="BZ115" s="65"/>
      <c r="CA115" s="65"/>
      <c r="CB115" s="65"/>
      <c r="CC115" s="65"/>
      <c r="CD115" s="65"/>
    </row>
    <row r="116" spans="35:82" ht="12.75">
      <c r="AI116" s="65"/>
      <c r="AJ116" s="65"/>
      <c r="AK116" s="65"/>
      <c r="AL116" s="65"/>
      <c r="AM116" s="65"/>
      <c r="AN116" s="18"/>
      <c r="AO116" s="66"/>
      <c r="AP116" s="64"/>
      <c r="AQ116" s="64"/>
      <c r="AR116" s="64"/>
      <c r="AS116" s="64"/>
      <c r="AT116" s="64"/>
      <c r="AU116" s="64"/>
      <c r="AV116" s="64"/>
      <c r="AW116" s="64"/>
      <c r="AX116" s="64"/>
      <c r="AY116" s="64"/>
      <c r="AZ116" s="64"/>
      <c r="BA116" s="64"/>
      <c r="BB116" s="64"/>
      <c r="BC116" s="65"/>
      <c r="BD116" s="65"/>
      <c r="BE116" s="65"/>
      <c r="BS116" s="65"/>
      <c r="BT116" s="65"/>
      <c r="BU116" s="65"/>
      <c r="BV116" s="65"/>
      <c r="BW116" s="65"/>
      <c r="BX116" s="65"/>
      <c r="BY116" s="65"/>
      <c r="BZ116" s="65"/>
      <c r="CA116" s="65"/>
      <c r="CB116" s="65"/>
      <c r="CC116" s="65"/>
      <c r="CD116" s="65"/>
    </row>
    <row r="117" spans="35:82" ht="12.75">
      <c r="AI117" s="65"/>
      <c r="AJ117" s="65"/>
      <c r="AK117" s="65"/>
      <c r="AL117" s="65"/>
      <c r="AM117" s="65"/>
      <c r="AN117" s="18"/>
      <c r="AO117" s="66"/>
      <c r="AP117" s="64"/>
      <c r="AQ117" s="64"/>
      <c r="AR117" s="64"/>
      <c r="AS117" s="64"/>
      <c r="AT117" s="64"/>
      <c r="AU117" s="64"/>
      <c r="AV117" s="64"/>
      <c r="AW117" s="64"/>
      <c r="AX117" s="64"/>
      <c r="AY117" s="64"/>
      <c r="AZ117" s="64"/>
      <c r="BA117" s="64"/>
      <c r="BB117" s="64"/>
      <c r="BC117" s="65"/>
      <c r="BD117" s="65"/>
      <c r="BE117" s="65"/>
      <c r="BS117" s="65"/>
      <c r="BT117" s="65"/>
      <c r="BU117" s="65"/>
      <c r="BV117" s="65"/>
      <c r="BW117" s="65"/>
      <c r="BX117" s="65"/>
      <c r="BY117" s="65"/>
      <c r="BZ117" s="65"/>
      <c r="CA117" s="65"/>
      <c r="CB117" s="65"/>
      <c r="CC117" s="65"/>
      <c r="CD117" s="65"/>
    </row>
    <row r="118" spans="35:82" ht="12.75">
      <c r="AI118" s="65"/>
      <c r="AJ118" s="65"/>
      <c r="AK118" s="65"/>
      <c r="AL118" s="65"/>
      <c r="AM118" s="65"/>
      <c r="AN118" s="18"/>
      <c r="AO118" s="66"/>
      <c r="AP118" s="64"/>
      <c r="AQ118" s="64"/>
      <c r="AR118" s="64"/>
      <c r="AS118" s="64"/>
      <c r="AT118" s="64"/>
      <c r="AU118" s="64"/>
      <c r="AV118" s="64"/>
      <c r="AW118" s="64"/>
      <c r="AX118" s="64"/>
      <c r="AY118" s="64"/>
      <c r="AZ118" s="64"/>
      <c r="BA118" s="64"/>
      <c r="BB118" s="64"/>
      <c r="BC118" s="65"/>
      <c r="BD118" s="65"/>
      <c r="BE118" s="65"/>
      <c r="BS118" s="65"/>
      <c r="BT118" s="65"/>
      <c r="BU118" s="65"/>
      <c r="BV118" s="65"/>
      <c r="BW118" s="65"/>
      <c r="BX118" s="65"/>
      <c r="BY118" s="65"/>
      <c r="BZ118" s="65"/>
      <c r="CA118" s="65"/>
      <c r="CB118" s="65"/>
      <c r="CC118" s="65"/>
      <c r="CD118" s="65"/>
    </row>
    <row r="119" spans="35:82" ht="12.75">
      <c r="AI119" s="65"/>
      <c r="AJ119" s="65"/>
      <c r="AK119" s="65"/>
      <c r="AL119" s="65"/>
      <c r="AM119" s="65"/>
      <c r="AN119" s="18"/>
      <c r="AO119" s="66"/>
      <c r="AP119" s="64"/>
      <c r="AQ119" s="64"/>
      <c r="AR119" s="64"/>
      <c r="AS119" s="64"/>
      <c r="AT119" s="64"/>
      <c r="AU119" s="64"/>
      <c r="AV119" s="64"/>
      <c r="AW119" s="64"/>
      <c r="AX119" s="64"/>
      <c r="AY119" s="64"/>
      <c r="AZ119" s="64"/>
      <c r="BA119" s="64"/>
      <c r="BB119" s="64"/>
      <c r="BC119" s="65"/>
      <c r="BD119" s="65"/>
      <c r="BE119" s="65"/>
      <c r="BS119" s="65"/>
      <c r="BT119" s="65"/>
      <c r="BU119" s="65"/>
      <c r="BV119" s="65"/>
      <c r="BW119" s="65"/>
      <c r="BX119" s="65"/>
      <c r="BY119" s="65"/>
      <c r="BZ119" s="65"/>
      <c r="CA119" s="65"/>
      <c r="CB119" s="65"/>
      <c r="CC119" s="65"/>
      <c r="CD119" s="65"/>
    </row>
    <row r="120" spans="35:82" ht="12.75">
      <c r="AI120" s="65"/>
      <c r="AJ120" s="65"/>
      <c r="AK120" s="65"/>
      <c r="AL120" s="65"/>
      <c r="AM120" s="65"/>
      <c r="AN120" s="18"/>
      <c r="AO120" s="66"/>
      <c r="AP120" s="64"/>
      <c r="AQ120" s="64"/>
      <c r="AR120" s="64"/>
      <c r="AS120" s="64"/>
      <c r="AT120" s="64"/>
      <c r="AU120" s="64"/>
      <c r="AV120" s="64"/>
      <c r="AW120" s="64"/>
      <c r="AX120" s="64"/>
      <c r="AY120" s="64"/>
      <c r="AZ120" s="64"/>
      <c r="BA120" s="64"/>
      <c r="BB120" s="64"/>
      <c r="BC120" s="65"/>
      <c r="BD120" s="65"/>
      <c r="BE120" s="65"/>
      <c r="BS120" s="65"/>
      <c r="BT120" s="65"/>
      <c r="BU120" s="65"/>
      <c r="BV120" s="65"/>
      <c r="BW120" s="65"/>
      <c r="BX120" s="65"/>
      <c r="BY120" s="65"/>
      <c r="BZ120" s="65"/>
      <c r="CA120" s="65"/>
      <c r="CB120" s="65"/>
      <c r="CC120" s="65"/>
      <c r="CD120" s="65"/>
    </row>
    <row r="121" spans="35:82" ht="12.75">
      <c r="AI121" s="65"/>
      <c r="AJ121" s="65"/>
      <c r="AK121" s="65"/>
      <c r="AL121" s="65"/>
      <c r="AM121" s="65"/>
      <c r="AN121" s="18"/>
      <c r="AO121" s="66"/>
      <c r="AP121" s="64"/>
      <c r="AQ121" s="64"/>
      <c r="AR121" s="64"/>
      <c r="AS121" s="64"/>
      <c r="AT121" s="64"/>
      <c r="AU121" s="64"/>
      <c r="AV121" s="64"/>
      <c r="AW121" s="64"/>
      <c r="AX121" s="64"/>
      <c r="AY121" s="64"/>
      <c r="AZ121" s="64"/>
      <c r="BA121" s="64"/>
      <c r="BB121" s="64"/>
      <c r="BC121" s="65"/>
      <c r="BD121" s="65"/>
      <c r="BE121" s="65"/>
      <c r="BS121" s="65"/>
      <c r="BT121" s="65"/>
      <c r="BU121" s="65"/>
      <c r="BV121" s="65"/>
      <c r="BW121" s="65"/>
      <c r="BX121" s="65"/>
      <c r="BY121" s="65"/>
      <c r="BZ121" s="65"/>
      <c r="CA121" s="65"/>
      <c r="CB121" s="65"/>
      <c r="CC121" s="65"/>
      <c r="CD121" s="65"/>
    </row>
    <row r="122" spans="35:82" ht="12.75">
      <c r="AI122" s="65"/>
      <c r="AJ122" s="65"/>
      <c r="AK122" s="65"/>
      <c r="AL122" s="65"/>
      <c r="AM122" s="65"/>
      <c r="AN122" s="18"/>
      <c r="AO122" s="66"/>
      <c r="AP122" s="64"/>
      <c r="AQ122" s="64"/>
      <c r="AR122" s="64"/>
      <c r="AS122" s="64"/>
      <c r="AT122" s="64"/>
      <c r="AU122" s="64"/>
      <c r="AV122" s="64"/>
      <c r="AW122" s="64"/>
      <c r="AX122" s="64"/>
      <c r="AY122" s="64"/>
      <c r="AZ122" s="64"/>
      <c r="BA122" s="64"/>
      <c r="BB122" s="64"/>
      <c r="BC122" s="65"/>
      <c r="BD122" s="65"/>
      <c r="BE122" s="65"/>
      <c r="BS122" s="65"/>
      <c r="BT122" s="65"/>
      <c r="BU122" s="65"/>
      <c r="BV122" s="65"/>
      <c r="BW122" s="65"/>
      <c r="BX122" s="65"/>
      <c r="BY122" s="65"/>
      <c r="BZ122" s="65"/>
      <c r="CA122" s="65"/>
      <c r="CB122" s="65"/>
      <c r="CC122" s="65"/>
      <c r="CD122" s="65"/>
    </row>
    <row r="123" spans="35:82" ht="12.75">
      <c r="AI123" s="65"/>
      <c r="AJ123" s="65"/>
      <c r="AK123" s="65"/>
      <c r="AL123" s="65"/>
      <c r="AM123" s="65"/>
      <c r="AN123" s="18"/>
      <c r="AO123" s="66"/>
      <c r="AP123" s="64"/>
      <c r="AQ123" s="64"/>
      <c r="AR123" s="64"/>
      <c r="AS123" s="64"/>
      <c r="AT123" s="64"/>
      <c r="AU123" s="64"/>
      <c r="AV123" s="64"/>
      <c r="AW123" s="64"/>
      <c r="AX123" s="64"/>
      <c r="AY123" s="64"/>
      <c r="AZ123" s="64"/>
      <c r="BA123" s="64"/>
      <c r="BB123" s="64"/>
      <c r="BC123" s="65"/>
      <c r="BD123" s="65"/>
      <c r="BE123" s="65"/>
      <c r="BS123" s="65"/>
      <c r="BT123" s="65"/>
      <c r="BU123" s="65"/>
      <c r="BV123" s="65"/>
      <c r="BW123" s="65"/>
      <c r="BX123" s="65"/>
      <c r="BY123" s="65"/>
      <c r="BZ123" s="65"/>
      <c r="CA123" s="65"/>
      <c r="CB123" s="65"/>
      <c r="CC123" s="65"/>
      <c r="CD123" s="65"/>
    </row>
    <row r="124" spans="35:82" ht="12.75">
      <c r="AI124" s="65"/>
      <c r="AJ124" s="65"/>
      <c r="AK124" s="65"/>
      <c r="AL124" s="65"/>
      <c r="AM124" s="65"/>
      <c r="AN124" s="18"/>
      <c r="AO124" s="66"/>
      <c r="AP124" s="64"/>
      <c r="AQ124" s="64"/>
      <c r="AR124" s="64"/>
      <c r="AS124" s="64"/>
      <c r="AT124" s="64"/>
      <c r="AU124" s="64"/>
      <c r="AV124" s="64"/>
      <c r="AW124" s="64"/>
      <c r="AX124" s="64"/>
      <c r="AY124" s="64"/>
      <c r="AZ124" s="64"/>
      <c r="BA124" s="64"/>
      <c r="BB124" s="64"/>
      <c r="BC124" s="65"/>
      <c r="BD124" s="65"/>
      <c r="BE124" s="65"/>
      <c r="BS124" s="65"/>
      <c r="BT124" s="65"/>
      <c r="BU124" s="65"/>
      <c r="BV124" s="65"/>
      <c r="BW124" s="65"/>
      <c r="BX124" s="65"/>
      <c r="BY124" s="65"/>
      <c r="BZ124" s="65"/>
      <c r="CA124" s="65"/>
      <c r="CB124" s="65"/>
      <c r="CC124" s="65"/>
      <c r="CD124" s="65"/>
    </row>
    <row r="125" spans="35:82" ht="12.75">
      <c r="AI125" s="65"/>
      <c r="AJ125" s="65"/>
      <c r="AK125" s="65"/>
      <c r="AL125" s="65"/>
      <c r="AM125" s="65"/>
      <c r="AN125" s="18"/>
      <c r="AO125" s="66"/>
      <c r="AP125" s="64"/>
      <c r="AQ125" s="64"/>
      <c r="AR125" s="64"/>
      <c r="AS125" s="64"/>
      <c r="AT125" s="64"/>
      <c r="AU125" s="64"/>
      <c r="AV125" s="64"/>
      <c r="AW125" s="64"/>
      <c r="AX125" s="64"/>
      <c r="AY125" s="64"/>
      <c r="AZ125" s="64"/>
      <c r="BA125" s="64"/>
      <c r="BB125" s="64"/>
      <c r="BC125" s="65"/>
      <c r="BD125" s="65"/>
      <c r="BE125" s="65"/>
      <c r="BS125" s="65"/>
      <c r="BT125" s="65"/>
      <c r="BU125" s="65"/>
      <c r="BV125" s="65"/>
      <c r="BW125" s="65"/>
      <c r="BX125" s="65"/>
      <c r="BY125" s="65"/>
      <c r="BZ125" s="65"/>
      <c r="CA125" s="65"/>
      <c r="CB125" s="65"/>
      <c r="CC125" s="65"/>
      <c r="CD125" s="65"/>
    </row>
    <row r="126" spans="35:82" ht="12.75">
      <c r="AI126" s="65"/>
      <c r="AJ126" s="65"/>
      <c r="AK126" s="65"/>
      <c r="AL126" s="65"/>
      <c r="AM126" s="65"/>
      <c r="AN126" s="18"/>
      <c r="AO126" s="66"/>
      <c r="AP126" s="64"/>
      <c r="AQ126" s="64"/>
      <c r="AR126" s="64"/>
      <c r="AS126" s="64"/>
      <c r="AT126" s="64"/>
      <c r="AU126" s="64"/>
      <c r="AV126" s="64"/>
      <c r="AW126" s="64"/>
      <c r="AX126" s="64"/>
      <c r="AY126" s="64"/>
      <c r="AZ126" s="64"/>
      <c r="BA126" s="64"/>
      <c r="BB126" s="64"/>
      <c r="BC126" s="65"/>
      <c r="BD126" s="65"/>
      <c r="BE126" s="65"/>
      <c r="BS126" s="65"/>
      <c r="BT126" s="65"/>
      <c r="BU126" s="65"/>
      <c r="BV126" s="65"/>
      <c r="BW126" s="65"/>
      <c r="BX126" s="65"/>
      <c r="BY126" s="65"/>
      <c r="BZ126" s="65"/>
      <c r="CA126" s="65"/>
      <c r="CB126" s="65"/>
      <c r="CC126" s="65"/>
      <c r="CD126" s="65"/>
    </row>
    <row r="127" spans="35:82" ht="12.75">
      <c r="AI127" s="65"/>
      <c r="AJ127" s="65"/>
      <c r="AK127" s="65"/>
      <c r="AL127" s="65"/>
      <c r="AM127" s="65"/>
      <c r="AN127" s="18"/>
      <c r="AO127" s="66"/>
      <c r="AP127" s="64"/>
      <c r="AQ127" s="64"/>
      <c r="AR127" s="64"/>
      <c r="AS127" s="64"/>
      <c r="AT127" s="64"/>
      <c r="AU127" s="64"/>
      <c r="AV127" s="64"/>
      <c r="AW127" s="64"/>
      <c r="AX127" s="64"/>
      <c r="AY127" s="64"/>
      <c r="AZ127" s="64"/>
      <c r="BA127" s="64"/>
      <c r="BB127" s="64"/>
      <c r="BC127" s="65"/>
      <c r="BD127" s="65"/>
      <c r="BE127" s="65"/>
      <c r="BS127" s="65"/>
      <c r="BT127" s="65"/>
      <c r="BU127" s="65"/>
      <c r="BV127" s="65"/>
      <c r="BW127" s="65"/>
      <c r="BX127" s="65"/>
      <c r="BY127" s="65"/>
      <c r="BZ127" s="65"/>
      <c r="CA127" s="65"/>
      <c r="CB127" s="65"/>
      <c r="CC127" s="65"/>
      <c r="CD127" s="65"/>
    </row>
    <row r="128" spans="35:82" ht="12.75">
      <c r="AI128" s="65"/>
      <c r="AJ128" s="65"/>
      <c r="AK128" s="65"/>
      <c r="AL128" s="65"/>
      <c r="AM128" s="65"/>
      <c r="AN128" s="18"/>
      <c r="AO128" s="66"/>
      <c r="AP128" s="64"/>
      <c r="AQ128" s="64"/>
      <c r="AR128" s="64"/>
      <c r="AS128" s="64"/>
      <c r="AT128" s="64"/>
      <c r="AU128" s="64"/>
      <c r="AV128" s="64"/>
      <c r="AW128" s="64"/>
      <c r="AX128" s="64"/>
      <c r="AY128" s="64"/>
      <c r="AZ128" s="64"/>
      <c r="BA128" s="64"/>
      <c r="BB128" s="64"/>
      <c r="BC128" s="65"/>
      <c r="BD128" s="65"/>
      <c r="BE128" s="65"/>
      <c r="BS128" s="65"/>
      <c r="BT128" s="65"/>
      <c r="BU128" s="65"/>
      <c r="BV128" s="65"/>
      <c r="BW128" s="65"/>
      <c r="BX128" s="65"/>
      <c r="BY128" s="65"/>
      <c r="BZ128" s="65"/>
      <c r="CA128" s="65"/>
      <c r="CB128" s="65"/>
      <c r="CC128" s="65"/>
      <c r="CD128" s="65"/>
    </row>
    <row r="129" spans="35:82" ht="12.75">
      <c r="AI129" s="65"/>
      <c r="AJ129" s="65"/>
      <c r="AK129" s="65"/>
      <c r="AL129" s="65"/>
      <c r="AM129" s="65"/>
      <c r="AN129" s="18"/>
      <c r="AO129" s="66"/>
      <c r="AP129" s="64"/>
      <c r="AQ129" s="64"/>
      <c r="AR129" s="64"/>
      <c r="AS129" s="64"/>
      <c r="AT129" s="64"/>
      <c r="AU129" s="64"/>
      <c r="AV129" s="64"/>
      <c r="AW129" s="64"/>
      <c r="AX129" s="64"/>
      <c r="AY129" s="64"/>
      <c r="AZ129" s="64"/>
      <c r="BA129" s="64"/>
      <c r="BB129" s="64"/>
      <c r="BC129" s="65"/>
      <c r="BD129" s="65"/>
      <c r="BE129" s="65"/>
      <c r="BS129" s="65"/>
      <c r="BT129" s="65"/>
      <c r="BU129" s="65"/>
      <c r="BV129" s="65"/>
      <c r="BW129" s="65"/>
      <c r="BX129" s="65"/>
      <c r="BY129" s="65"/>
      <c r="BZ129" s="65"/>
      <c r="CA129" s="65"/>
      <c r="CB129" s="65"/>
      <c r="CC129" s="65"/>
      <c r="CD129" s="65"/>
    </row>
    <row r="130" spans="35:82" ht="12.75">
      <c r="AI130" s="65"/>
      <c r="AJ130" s="65"/>
      <c r="AK130" s="65"/>
      <c r="AL130" s="65"/>
      <c r="AM130" s="65"/>
      <c r="AN130" s="18"/>
      <c r="AO130" s="66"/>
      <c r="AP130" s="64"/>
      <c r="AQ130" s="64"/>
      <c r="AR130" s="64"/>
      <c r="AS130" s="64"/>
      <c r="AT130" s="64"/>
      <c r="AU130" s="64"/>
      <c r="AV130" s="64"/>
      <c r="AW130" s="64"/>
      <c r="AX130" s="64"/>
      <c r="AY130" s="64"/>
      <c r="AZ130" s="64"/>
      <c r="BA130" s="64"/>
      <c r="BB130" s="64"/>
      <c r="BC130" s="65"/>
      <c r="BD130" s="65"/>
      <c r="BE130" s="65"/>
      <c r="BS130" s="65"/>
      <c r="BT130" s="65"/>
      <c r="BU130" s="65"/>
      <c r="BV130" s="65"/>
      <c r="BW130" s="65"/>
      <c r="BX130" s="65"/>
      <c r="BY130" s="65"/>
      <c r="BZ130" s="65"/>
      <c r="CA130" s="65"/>
      <c r="CB130" s="65"/>
      <c r="CC130" s="65"/>
      <c r="CD130" s="65"/>
    </row>
    <row r="131" spans="35:82" ht="12.75">
      <c r="AI131" s="65"/>
      <c r="AJ131" s="65"/>
      <c r="AK131" s="65"/>
      <c r="AL131" s="65"/>
      <c r="AM131" s="65"/>
      <c r="AN131" s="18"/>
      <c r="AO131" s="66"/>
      <c r="AP131" s="64"/>
      <c r="AQ131" s="64"/>
      <c r="AR131" s="64"/>
      <c r="AS131" s="64"/>
      <c r="AT131" s="64"/>
      <c r="AU131" s="64"/>
      <c r="AV131" s="64"/>
      <c r="AW131" s="64"/>
      <c r="AX131" s="64"/>
      <c r="AY131" s="64"/>
      <c r="AZ131" s="64"/>
      <c r="BA131" s="64"/>
      <c r="BB131" s="64"/>
      <c r="BC131" s="65"/>
      <c r="BD131" s="65"/>
      <c r="BE131" s="65"/>
      <c r="BS131" s="65"/>
      <c r="BT131" s="65"/>
      <c r="BU131" s="65"/>
      <c r="BV131" s="65"/>
      <c r="BW131" s="65"/>
      <c r="BX131" s="65"/>
      <c r="BY131" s="65"/>
      <c r="BZ131" s="65"/>
      <c r="CA131" s="65"/>
      <c r="CB131" s="65"/>
      <c r="CC131" s="65"/>
      <c r="CD131" s="65"/>
    </row>
    <row r="132" spans="35:82" ht="12.75">
      <c r="AI132" s="65"/>
      <c r="AJ132" s="65"/>
      <c r="AK132" s="65"/>
      <c r="AL132" s="65"/>
      <c r="AM132" s="65"/>
      <c r="AN132" s="18"/>
      <c r="AO132" s="66"/>
      <c r="AP132" s="64"/>
      <c r="AQ132" s="64"/>
      <c r="AR132" s="64"/>
      <c r="AS132" s="64"/>
      <c r="AT132" s="64"/>
      <c r="AU132" s="64"/>
      <c r="AV132" s="64"/>
      <c r="AW132" s="64"/>
      <c r="AX132" s="64"/>
      <c r="AY132" s="64"/>
      <c r="AZ132" s="64"/>
      <c r="BA132" s="64"/>
      <c r="BB132" s="64"/>
      <c r="BC132" s="65"/>
      <c r="BD132" s="65"/>
      <c r="BE132" s="65"/>
      <c r="BS132" s="65"/>
      <c r="BT132" s="65"/>
      <c r="BU132" s="65"/>
      <c r="BV132" s="65"/>
      <c r="BW132" s="65"/>
      <c r="BX132" s="65"/>
      <c r="BY132" s="65"/>
      <c r="BZ132" s="65"/>
      <c r="CA132" s="65"/>
      <c r="CB132" s="65"/>
      <c r="CC132" s="65"/>
      <c r="CD132" s="65"/>
    </row>
    <row r="133" spans="35:82" ht="12.75">
      <c r="AI133" s="65"/>
      <c r="AJ133" s="65"/>
      <c r="AK133" s="65"/>
      <c r="AL133" s="65"/>
      <c r="AM133" s="65"/>
      <c r="AN133" s="18"/>
      <c r="AO133" s="66"/>
      <c r="AP133" s="64"/>
      <c r="AQ133" s="64"/>
      <c r="AR133" s="64"/>
      <c r="AS133" s="64"/>
      <c r="AT133" s="64"/>
      <c r="AU133" s="64"/>
      <c r="AV133" s="64"/>
      <c r="AW133" s="64"/>
      <c r="AX133" s="64"/>
      <c r="AY133" s="64"/>
      <c r="AZ133" s="64"/>
      <c r="BA133" s="64"/>
      <c r="BB133" s="64"/>
      <c r="BC133" s="65"/>
      <c r="BD133" s="65"/>
      <c r="BE133" s="65"/>
      <c r="BS133" s="65"/>
      <c r="BT133" s="65"/>
      <c r="BU133" s="65"/>
      <c r="BV133" s="65"/>
      <c r="BW133" s="65"/>
      <c r="BX133" s="65"/>
      <c r="BY133" s="65"/>
      <c r="BZ133" s="65"/>
      <c r="CA133" s="65"/>
      <c r="CB133" s="65"/>
      <c r="CC133" s="65"/>
      <c r="CD133" s="65"/>
    </row>
    <row r="134" spans="35:57" ht="12.75">
      <c r="AI134" s="65"/>
      <c r="AJ134" s="65"/>
      <c r="AK134" s="65"/>
      <c r="AL134" s="65"/>
      <c r="AM134" s="65"/>
      <c r="AN134" s="18"/>
      <c r="AO134" s="66"/>
      <c r="AP134" s="64"/>
      <c r="AQ134" s="64"/>
      <c r="AR134" s="64"/>
      <c r="AS134" s="64"/>
      <c r="AT134" s="64"/>
      <c r="AU134" s="64"/>
      <c r="AV134" s="64"/>
      <c r="AW134" s="64"/>
      <c r="AX134" s="64"/>
      <c r="AY134" s="64"/>
      <c r="AZ134" s="64"/>
      <c r="BA134" s="64"/>
      <c r="BB134" s="64"/>
      <c r="BC134" s="65"/>
      <c r="BD134" s="65"/>
      <c r="BE134" s="65"/>
    </row>
    <row r="135" spans="35:57" ht="12.75">
      <c r="AI135" s="65"/>
      <c r="AJ135" s="65"/>
      <c r="AK135" s="65"/>
      <c r="AL135" s="65"/>
      <c r="AM135" s="65"/>
      <c r="AN135" s="18"/>
      <c r="AO135" s="66"/>
      <c r="AP135" s="64"/>
      <c r="AQ135" s="64"/>
      <c r="AR135" s="64"/>
      <c r="AS135" s="64"/>
      <c r="AT135" s="64"/>
      <c r="AU135" s="64"/>
      <c r="AV135" s="64"/>
      <c r="AW135" s="64"/>
      <c r="AX135" s="64"/>
      <c r="AY135" s="64"/>
      <c r="AZ135" s="64"/>
      <c r="BA135" s="64"/>
      <c r="BB135" s="64"/>
      <c r="BC135" s="65"/>
      <c r="BD135" s="65"/>
      <c r="BE135" s="65"/>
    </row>
    <row r="136" spans="35:57" ht="12.75">
      <c r="AI136" s="65"/>
      <c r="AJ136" s="65"/>
      <c r="AK136" s="65"/>
      <c r="AL136" s="65"/>
      <c r="AM136" s="65"/>
      <c r="AN136" s="18"/>
      <c r="AO136" s="66"/>
      <c r="AP136" s="64"/>
      <c r="AQ136" s="64"/>
      <c r="AR136" s="64"/>
      <c r="AS136" s="64"/>
      <c r="AT136" s="64"/>
      <c r="AU136" s="64"/>
      <c r="AV136" s="64"/>
      <c r="AW136" s="64"/>
      <c r="AX136" s="64"/>
      <c r="AY136" s="64"/>
      <c r="AZ136" s="64"/>
      <c r="BA136" s="64"/>
      <c r="BB136" s="64"/>
      <c r="BC136" s="65"/>
      <c r="BD136" s="65"/>
      <c r="BE136" s="65"/>
    </row>
    <row r="137" spans="35:57" ht="12.75">
      <c r="AI137" s="65"/>
      <c r="AJ137" s="65"/>
      <c r="AK137" s="65"/>
      <c r="AL137" s="65"/>
      <c r="AM137" s="65"/>
      <c r="AN137" s="18"/>
      <c r="AO137" s="66"/>
      <c r="AP137" s="64"/>
      <c r="AQ137" s="64"/>
      <c r="AR137" s="64"/>
      <c r="AS137" s="64"/>
      <c r="AT137" s="64"/>
      <c r="AU137" s="64"/>
      <c r="AV137" s="64"/>
      <c r="AW137" s="64"/>
      <c r="AX137" s="64"/>
      <c r="AY137" s="64"/>
      <c r="AZ137" s="64"/>
      <c r="BA137" s="64"/>
      <c r="BB137" s="64"/>
      <c r="BC137" s="65"/>
      <c r="BD137" s="65"/>
      <c r="BE137" s="65"/>
    </row>
    <row r="138" spans="35:57" ht="12.75">
      <c r="AI138" s="65"/>
      <c r="AJ138" s="65"/>
      <c r="AK138" s="65"/>
      <c r="AL138" s="65"/>
      <c r="AM138" s="65"/>
      <c r="AN138" s="18"/>
      <c r="AO138" s="66"/>
      <c r="AP138" s="64"/>
      <c r="AQ138" s="64"/>
      <c r="AR138" s="64"/>
      <c r="AS138" s="64"/>
      <c r="AT138" s="64"/>
      <c r="AU138" s="64"/>
      <c r="AV138" s="64"/>
      <c r="AW138" s="64"/>
      <c r="AX138" s="64"/>
      <c r="AY138" s="64"/>
      <c r="AZ138" s="64"/>
      <c r="BA138" s="64"/>
      <c r="BB138" s="64"/>
      <c r="BC138" s="65"/>
      <c r="BD138" s="65"/>
      <c r="BE138" s="65"/>
    </row>
    <row r="139" spans="35:57" ht="12.75">
      <c r="AI139" s="65"/>
      <c r="AJ139" s="65"/>
      <c r="AK139" s="65"/>
      <c r="AL139" s="65"/>
      <c r="AM139" s="65"/>
      <c r="AN139" s="18"/>
      <c r="AO139" s="66"/>
      <c r="AP139" s="64"/>
      <c r="AQ139" s="64"/>
      <c r="AR139" s="64"/>
      <c r="AS139" s="64"/>
      <c r="AT139" s="64"/>
      <c r="AU139" s="64"/>
      <c r="AV139" s="64"/>
      <c r="AW139" s="64"/>
      <c r="AX139" s="64"/>
      <c r="AY139" s="64"/>
      <c r="AZ139" s="64"/>
      <c r="BA139" s="64"/>
      <c r="BB139" s="64"/>
      <c r="BC139" s="65"/>
      <c r="BD139" s="65"/>
      <c r="BE139" s="65"/>
    </row>
    <row r="140" spans="35:57" ht="12.75">
      <c r="AI140" s="65"/>
      <c r="AJ140" s="65"/>
      <c r="AK140" s="65"/>
      <c r="AL140" s="65"/>
      <c r="AM140" s="65"/>
      <c r="AN140" s="18"/>
      <c r="AO140" s="66"/>
      <c r="AP140" s="64"/>
      <c r="AQ140" s="64"/>
      <c r="AR140" s="64"/>
      <c r="AS140" s="64"/>
      <c r="AT140" s="64"/>
      <c r="AU140" s="64"/>
      <c r="AV140" s="64"/>
      <c r="AW140" s="64"/>
      <c r="AX140" s="64"/>
      <c r="AY140" s="64"/>
      <c r="AZ140" s="64"/>
      <c r="BA140" s="64"/>
      <c r="BB140" s="64"/>
      <c r="BC140" s="65"/>
      <c r="BD140" s="65"/>
      <c r="BE140" s="65"/>
    </row>
    <row r="141" spans="35:57" ht="12.75">
      <c r="AI141" s="65"/>
      <c r="AJ141" s="65"/>
      <c r="AK141" s="65"/>
      <c r="AL141" s="65"/>
      <c r="AM141" s="65"/>
      <c r="AN141" s="18"/>
      <c r="AO141" s="66"/>
      <c r="AP141" s="64"/>
      <c r="AQ141" s="64"/>
      <c r="AR141" s="64"/>
      <c r="AS141" s="64"/>
      <c r="AT141" s="64"/>
      <c r="AU141" s="64"/>
      <c r="AV141" s="64"/>
      <c r="AW141" s="64"/>
      <c r="AX141" s="64"/>
      <c r="AY141" s="64"/>
      <c r="AZ141" s="64"/>
      <c r="BA141" s="64"/>
      <c r="BB141" s="64"/>
      <c r="BC141" s="65"/>
      <c r="BD141" s="65"/>
      <c r="BE141" s="65"/>
    </row>
    <row r="142" spans="35:57" ht="12.75">
      <c r="AI142" s="65"/>
      <c r="AJ142" s="65"/>
      <c r="AK142" s="65"/>
      <c r="AL142" s="65"/>
      <c r="AM142" s="65"/>
      <c r="AN142" s="18"/>
      <c r="AO142" s="66"/>
      <c r="AP142" s="64"/>
      <c r="AQ142" s="64"/>
      <c r="AR142" s="64"/>
      <c r="AS142" s="64"/>
      <c r="AT142" s="64"/>
      <c r="AU142" s="64"/>
      <c r="AV142" s="64"/>
      <c r="AW142" s="64"/>
      <c r="AX142" s="64"/>
      <c r="AY142" s="64"/>
      <c r="AZ142" s="64"/>
      <c r="BA142" s="64"/>
      <c r="BB142" s="64"/>
      <c r="BC142" s="65"/>
      <c r="BD142" s="65"/>
      <c r="BE142" s="65"/>
    </row>
  </sheetData>
  <sheetProtection password="C795" sheet="1" objects="1" scenarios="1"/>
  <mergeCells count="199">
    <mergeCell ref="A21:E21"/>
    <mergeCell ref="AE80:AG80"/>
    <mergeCell ref="G2:Y2"/>
    <mergeCell ref="A2:E2"/>
    <mergeCell ref="AE73:AG73"/>
    <mergeCell ref="AE75:AG75"/>
    <mergeCell ref="AE77:AG77"/>
    <mergeCell ref="AE79:AG79"/>
    <mergeCell ref="AA77:AC77"/>
    <mergeCell ref="AA79:AC79"/>
    <mergeCell ref="AE57:AG57"/>
    <mergeCell ref="AE59:AG59"/>
    <mergeCell ref="AE61:AG61"/>
    <mergeCell ref="AE63:AG63"/>
    <mergeCell ref="AE65:AG65"/>
    <mergeCell ref="AE67:AG67"/>
    <mergeCell ref="AE71:AG71"/>
    <mergeCell ref="AE69:AG69"/>
    <mergeCell ref="W77:Y77"/>
    <mergeCell ref="W79:Y79"/>
    <mergeCell ref="AA57:AC57"/>
    <mergeCell ref="AA59:AC59"/>
    <mergeCell ref="AA61:AC61"/>
    <mergeCell ref="AA63:AC63"/>
    <mergeCell ref="AA65:AC65"/>
    <mergeCell ref="AA67:AC67"/>
    <mergeCell ref="AA69:AC69"/>
    <mergeCell ref="AA71:AC71"/>
    <mergeCell ref="O79:U79"/>
    <mergeCell ref="W57:Y57"/>
    <mergeCell ref="W59:Y59"/>
    <mergeCell ref="W61:Y61"/>
    <mergeCell ref="W63:Y63"/>
    <mergeCell ref="W65:Y65"/>
    <mergeCell ref="W67:Y67"/>
    <mergeCell ref="W69:Y69"/>
    <mergeCell ref="W71:Y71"/>
    <mergeCell ref="W73:Y73"/>
    <mergeCell ref="A77:M77"/>
    <mergeCell ref="A79:M79"/>
    <mergeCell ref="O51:AG51"/>
    <mergeCell ref="O53:AG53"/>
    <mergeCell ref="O55:AG55"/>
    <mergeCell ref="O57:U57"/>
    <mergeCell ref="O59:U59"/>
    <mergeCell ref="O61:U61"/>
    <mergeCell ref="O63:U63"/>
    <mergeCell ref="O65:U65"/>
    <mergeCell ref="A61:M61"/>
    <mergeCell ref="A63:M63"/>
    <mergeCell ref="O49:AG49"/>
    <mergeCell ref="A40:E40"/>
    <mergeCell ref="A42:E42"/>
    <mergeCell ref="A44:E44"/>
    <mergeCell ref="A46:E46"/>
    <mergeCell ref="G40:I40"/>
    <mergeCell ref="O71:U71"/>
    <mergeCell ref="O73:U73"/>
    <mergeCell ref="S42:AG42"/>
    <mergeCell ref="S40:AG40"/>
    <mergeCell ref="O75:U75"/>
    <mergeCell ref="O77:U77"/>
    <mergeCell ref="A65:M65"/>
    <mergeCell ref="A67:M67"/>
    <mergeCell ref="A69:M69"/>
    <mergeCell ref="A71:M71"/>
    <mergeCell ref="A73:M73"/>
    <mergeCell ref="A75:M75"/>
    <mergeCell ref="O67:U67"/>
    <mergeCell ref="O69:U69"/>
    <mergeCell ref="W75:Y75"/>
    <mergeCell ref="AA73:AC73"/>
    <mergeCell ref="AA75:AC75"/>
    <mergeCell ref="A13:E13"/>
    <mergeCell ref="A17:E17"/>
    <mergeCell ref="A19:E19"/>
    <mergeCell ref="A24:E24"/>
    <mergeCell ref="A26:E26"/>
    <mergeCell ref="A28:E28"/>
    <mergeCell ref="A30:E30"/>
    <mergeCell ref="A11:E11"/>
    <mergeCell ref="A9:E9"/>
    <mergeCell ref="A7:E7"/>
    <mergeCell ref="A4:E4"/>
    <mergeCell ref="A32:E32"/>
    <mergeCell ref="A34:E34"/>
    <mergeCell ref="A36:E36"/>
    <mergeCell ref="A38:E38"/>
    <mergeCell ref="G24:I24"/>
    <mergeCell ref="G26:I26"/>
    <mergeCell ref="G28:I28"/>
    <mergeCell ref="G30:I30"/>
    <mergeCell ref="G32:I32"/>
    <mergeCell ref="G34:I34"/>
    <mergeCell ref="G36:I36"/>
    <mergeCell ref="G38:I38"/>
    <mergeCell ref="G42:I42"/>
    <mergeCell ref="G44:I44"/>
    <mergeCell ref="G46:I46"/>
    <mergeCell ref="K24:M24"/>
    <mergeCell ref="K26:M26"/>
    <mergeCell ref="K28:M28"/>
    <mergeCell ref="K30:M30"/>
    <mergeCell ref="K32:M32"/>
    <mergeCell ref="K34:M34"/>
    <mergeCell ref="K36:M36"/>
    <mergeCell ref="K38:M38"/>
    <mergeCell ref="K40:M40"/>
    <mergeCell ref="K42:M42"/>
    <mergeCell ref="K44:M44"/>
    <mergeCell ref="K46:M46"/>
    <mergeCell ref="O24:Q24"/>
    <mergeCell ref="O26:Q26"/>
    <mergeCell ref="O28:Q28"/>
    <mergeCell ref="O30:Q30"/>
    <mergeCell ref="O32:Q32"/>
    <mergeCell ref="O34:Q34"/>
    <mergeCell ref="O36:Q36"/>
    <mergeCell ref="O38:Q38"/>
    <mergeCell ref="O40:Q40"/>
    <mergeCell ref="O42:Q42"/>
    <mergeCell ref="O44:Q44"/>
    <mergeCell ref="O46:Q46"/>
    <mergeCell ref="S36:U36"/>
    <mergeCell ref="S38:U38"/>
    <mergeCell ref="AA24:AC24"/>
    <mergeCell ref="AA26:AC26"/>
    <mergeCell ref="W24:Y24"/>
    <mergeCell ref="W26:Y26"/>
    <mergeCell ref="S24:U24"/>
    <mergeCell ref="S26:U26"/>
    <mergeCell ref="S32:U32"/>
    <mergeCell ref="S34:U34"/>
    <mergeCell ref="AE24:AG24"/>
    <mergeCell ref="AE26:AG26"/>
    <mergeCell ref="AE28:AG28"/>
    <mergeCell ref="AE30:AG30"/>
    <mergeCell ref="AE44:AG44"/>
    <mergeCell ref="AE46:AG46"/>
    <mergeCell ref="W32:AC32"/>
    <mergeCell ref="W34:AC34"/>
    <mergeCell ref="W36:AC36"/>
    <mergeCell ref="W38:AC38"/>
    <mergeCell ref="AE32:AG32"/>
    <mergeCell ref="AE34:AG34"/>
    <mergeCell ref="AE36:AG36"/>
    <mergeCell ref="AE38:AG38"/>
    <mergeCell ref="G15:I15"/>
    <mergeCell ref="G4:I4"/>
    <mergeCell ref="G7:I7"/>
    <mergeCell ref="G9:I9"/>
    <mergeCell ref="G11:I11"/>
    <mergeCell ref="G13:I13"/>
    <mergeCell ref="O9:Q9"/>
    <mergeCell ref="O11:Q11"/>
    <mergeCell ref="K4:M4"/>
    <mergeCell ref="K7:M7"/>
    <mergeCell ref="K9:M9"/>
    <mergeCell ref="K11:M11"/>
    <mergeCell ref="O19:Q19"/>
    <mergeCell ref="S19:U19"/>
    <mergeCell ref="W19:Y19"/>
    <mergeCell ref="S4:U4"/>
    <mergeCell ref="S7:U7"/>
    <mergeCell ref="S9:U9"/>
    <mergeCell ref="S11:U11"/>
    <mergeCell ref="O15:Q15"/>
    <mergeCell ref="O4:Q4"/>
    <mergeCell ref="O7:Q7"/>
    <mergeCell ref="A53:E53"/>
    <mergeCell ref="A55:E55"/>
    <mergeCell ref="W13:Y13"/>
    <mergeCell ref="O13:Q13"/>
    <mergeCell ref="G21:I21"/>
    <mergeCell ref="W15:Y15"/>
    <mergeCell ref="A15:E15"/>
    <mergeCell ref="G17:Y17"/>
    <mergeCell ref="G19:I19"/>
    <mergeCell ref="K19:M19"/>
    <mergeCell ref="W4:Y4"/>
    <mergeCell ref="W7:Y7"/>
    <mergeCell ref="W9:Y9"/>
    <mergeCell ref="W11:Y11"/>
    <mergeCell ref="A57:E57"/>
    <mergeCell ref="A59:E59"/>
    <mergeCell ref="A49:E49"/>
    <mergeCell ref="G49:I49"/>
    <mergeCell ref="G51:I51"/>
    <mergeCell ref="G53:I53"/>
    <mergeCell ref="G55:I55"/>
    <mergeCell ref="G57:I57"/>
    <mergeCell ref="G59:I59"/>
    <mergeCell ref="A51:E51"/>
    <mergeCell ref="K57:M57"/>
    <mergeCell ref="K59:M59"/>
    <mergeCell ref="K49:M49"/>
    <mergeCell ref="K51:M51"/>
    <mergeCell ref="K53:M53"/>
    <mergeCell ref="K55:M55"/>
  </mergeCells>
  <printOptions horizontalCentered="1" verticalCentered="1"/>
  <pageMargins left="0.1968503937007874" right="0.1968503937007874" top="0.1968503937007874" bottom="0.5905511811023623" header="0.5118110236220472" footer="0.5118110236220472"/>
  <pageSetup fitToHeight="1" fitToWidth="1" horizontalDpi="600" verticalDpi="600" orientation="portrait" paperSize="9" scale="82" r:id="rId3"/>
  <drawing r:id="rId2"/>
  <legacyDrawing r:id="rId1"/>
</worksheet>
</file>

<file path=xl/worksheets/sheet10.xml><?xml version="1.0" encoding="utf-8"?>
<worksheet xmlns="http://schemas.openxmlformats.org/spreadsheetml/2006/main" xmlns:r="http://schemas.openxmlformats.org/officeDocument/2006/relationships">
  <sheetPr codeName="Tabelle11"/>
  <dimension ref="A1:J26"/>
  <sheetViews>
    <sheetView workbookViewId="0" topLeftCell="A1">
      <selection activeCell="A2" sqref="A2"/>
    </sheetView>
  </sheetViews>
  <sheetFormatPr defaultColWidth="11.421875" defaultRowHeight="12.75"/>
  <cols>
    <col min="1" max="1" width="11.421875" style="5" customWidth="1"/>
    <col min="2" max="2" width="9.8515625" style="5" customWidth="1"/>
    <col min="3" max="3" width="16.00390625" style="5" customWidth="1"/>
    <col min="4" max="4" width="16.57421875" style="5" customWidth="1"/>
    <col min="5" max="5" width="22.140625" style="5" customWidth="1"/>
    <col min="6" max="6" width="25.57421875" style="5" customWidth="1"/>
    <col min="7" max="7" width="20.140625" style="5" customWidth="1"/>
    <col min="8" max="8" width="22.421875" style="5" customWidth="1"/>
    <col min="9" max="16384" width="11.421875" style="5" customWidth="1"/>
  </cols>
  <sheetData>
    <row r="1" spans="2:10" s="75" customFormat="1" ht="9">
      <c r="B1" s="75" t="s">
        <v>2483</v>
      </c>
      <c r="C1" s="76" t="s">
        <v>132</v>
      </c>
      <c r="D1" s="76" t="s">
        <v>133</v>
      </c>
      <c r="E1" s="76" t="s">
        <v>134</v>
      </c>
      <c r="F1" s="76" t="s">
        <v>135</v>
      </c>
      <c r="G1" s="76" t="s">
        <v>136</v>
      </c>
      <c r="H1" s="76" t="s">
        <v>1855</v>
      </c>
      <c r="I1" s="76"/>
      <c r="J1" s="76"/>
    </row>
    <row r="2" spans="1:10" s="1" customFormat="1" ht="12.75">
      <c r="A2" s="1">
        <v>1</v>
      </c>
      <c r="B2" s="1">
        <v>1</v>
      </c>
      <c r="C2" s="2" t="s">
        <v>119</v>
      </c>
      <c r="D2" s="2" t="s">
        <v>1848</v>
      </c>
      <c r="E2" s="3" t="s">
        <v>1848</v>
      </c>
      <c r="F2" s="2" t="s">
        <v>1848</v>
      </c>
      <c r="G2" s="2" t="s">
        <v>2498</v>
      </c>
      <c r="H2" s="2" t="s">
        <v>1848</v>
      </c>
      <c r="I2" s="3"/>
      <c r="J2" s="2"/>
    </row>
    <row r="3" spans="1:10" s="1" customFormat="1" ht="12.75">
      <c r="A3" s="1">
        <f>A2+1</f>
        <v>2</v>
      </c>
      <c r="B3" s="1">
        <v>2</v>
      </c>
      <c r="C3" s="2" t="s">
        <v>36</v>
      </c>
      <c r="D3" s="2" t="s">
        <v>1848</v>
      </c>
      <c r="E3" s="3" t="s">
        <v>1848</v>
      </c>
      <c r="F3" s="2" t="s">
        <v>1848</v>
      </c>
      <c r="G3" s="2" t="s">
        <v>2498</v>
      </c>
      <c r="H3" s="2" t="s">
        <v>1848</v>
      </c>
      <c r="I3" s="3"/>
      <c r="J3" s="2"/>
    </row>
    <row r="4" spans="1:10" s="1" customFormat="1" ht="12.75">
      <c r="A4" s="1">
        <f aca="true" t="shared" si="0" ref="A4:A26">A3+1</f>
        <v>3</v>
      </c>
      <c r="B4" s="1">
        <v>3</v>
      </c>
      <c r="C4" s="2" t="s">
        <v>36</v>
      </c>
      <c r="D4" s="2" t="s">
        <v>1848</v>
      </c>
      <c r="E4" s="3" t="s">
        <v>1848</v>
      </c>
      <c r="F4" s="2" t="s">
        <v>1848</v>
      </c>
      <c r="G4" s="2" t="s">
        <v>2498</v>
      </c>
      <c r="H4" s="2" t="s">
        <v>1848</v>
      </c>
      <c r="I4" s="3"/>
      <c r="J4" s="2"/>
    </row>
    <row r="5" spans="1:10" s="1" customFormat="1" ht="12.75">
      <c r="A5" s="1">
        <f t="shared" si="0"/>
        <v>4</v>
      </c>
      <c r="B5" s="1">
        <v>4</v>
      </c>
      <c r="C5" s="2" t="s">
        <v>36</v>
      </c>
      <c r="D5" s="2" t="s">
        <v>1848</v>
      </c>
      <c r="E5" s="3" t="s">
        <v>1848</v>
      </c>
      <c r="F5" s="2" t="s">
        <v>1848</v>
      </c>
      <c r="G5" s="2" t="s">
        <v>2498</v>
      </c>
      <c r="H5" s="2" t="s">
        <v>1848</v>
      </c>
      <c r="I5" s="3"/>
      <c r="J5" s="2"/>
    </row>
    <row r="6" spans="1:10" s="1" customFormat="1" ht="12.75">
      <c r="A6" s="1">
        <f t="shared" si="0"/>
        <v>5</v>
      </c>
      <c r="B6" s="1">
        <v>5</v>
      </c>
      <c r="C6" s="2" t="s">
        <v>36</v>
      </c>
      <c r="D6" s="2" t="s">
        <v>1848</v>
      </c>
      <c r="E6" s="3" t="s">
        <v>1848</v>
      </c>
      <c r="F6" s="2" t="s">
        <v>1848</v>
      </c>
      <c r="G6" s="2" t="s">
        <v>2498</v>
      </c>
      <c r="H6" s="2" t="s">
        <v>1848</v>
      </c>
      <c r="I6" s="3"/>
      <c r="J6" s="2"/>
    </row>
    <row r="7" spans="1:10" s="1" customFormat="1" ht="12.75">
      <c r="A7" s="1">
        <f t="shared" si="0"/>
        <v>6</v>
      </c>
      <c r="B7" s="1">
        <v>6</v>
      </c>
      <c r="C7" s="2" t="s">
        <v>36</v>
      </c>
      <c r="D7" s="2" t="s">
        <v>1848</v>
      </c>
      <c r="E7" s="3" t="s">
        <v>1848</v>
      </c>
      <c r="F7" s="2" t="s">
        <v>1848</v>
      </c>
      <c r="G7" s="2" t="s">
        <v>2498</v>
      </c>
      <c r="H7" s="2" t="s">
        <v>1848</v>
      </c>
      <c r="I7" s="3"/>
      <c r="J7" s="2"/>
    </row>
    <row r="8" spans="1:10" s="1" customFormat="1" ht="12.75">
      <c r="A8" s="1">
        <f t="shared" si="0"/>
        <v>7</v>
      </c>
      <c r="B8" s="1">
        <v>7</v>
      </c>
      <c r="C8" s="2" t="s">
        <v>36</v>
      </c>
      <c r="D8" s="2" t="s">
        <v>1848</v>
      </c>
      <c r="E8" s="3" t="s">
        <v>1848</v>
      </c>
      <c r="F8" s="2" t="s">
        <v>1848</v>
      </c>
      <c r="G8" s="2" t="s">
        <v>2498</v>
      </c>
      <c r="H8" s="2" t="s">
        <v>1848</v>
      </c>
      <c r="I8" s="3"/>
      <c r="J8" s="2"/>
    </row>
    <row r="9" spans="1:10" s="1" customFormat="1" ht="12.75">
      <c r="A9" s="1">
        <f t="shared" si="0"/>
        <v>8</v>
      </c>
      <c r="B9" s="1">
        <v>8</v>
      </c>
      <c r="C9" s="2" t="s">
        <v>36</v>
      </c>
      <c r="D9" s="2" t="s">
        <v>1848</v>
      </c>
      <c r="E9" s="3" t="s">
        <v>1848</v>
      </c>
      <c r="F9" s="2" t="s">
        <v>1848</v>
      </c>
      <c r="G9" s="2" t="s">
        <v>2498</v>
      </c>
      <c r="H9" s="2" t="s">
        <v>1848</v>
      </c>
      <c r="I9" s="3"/>
      <c r="J9" s="2"/>
    </row>
    <row r="10" spans="1:10" s="1" customFormat="1" ht="12.75">
      <c r="A10" s="1">
        <f t="shared" si="0"/>
        <v>9</v>
      </c>
      <c r="B10" s="1">
        <v>9</v>
      </c>
      <c r="C10" s="2" t="s">
        <v>59</v>
      </c>
      <c r="D10" s="2" t="s">
        <v>60</v>
      </c>
      <c r="E10" s="3">
        <v>0.35</v>
      </c>
      <c r="F10" s="2" t="s">
        <v>61</v>
      </c>
      <c r="G10" s="2" t="s">
        <v>2498</v>
      </c>
      <c r="H10" s="2" t="s">
        <v>1848</v>
      </c>
      <c r="I10" s="3"/>
      <c r="J10" s="2"/>
    </row>
    <row r="11" spans="1:10" s="1" customFormat="1" ht="12.75">
      <c r="A11" s="1">
        <f t="shared" si="0"/>
        <v>10</v>
      </c>
      <c r="B11" s="1">
        <v>10</v>
      </c>
      <c r="C11" s="2" t="s">
        <v>59</v>
      </c>
      <c r="D11" s="2" t="s">
        <v>37</v>
      </c>
      <c r="E11" s="3">
        <v>0.4</v>
      </c>
      <c r="F11" s="2" t="s">
        <v>62</v>
      </c>
      <c r="G11" s="2" t="s">
        <v>2498</v>
      </c>
      <c r="H11" s="2" t="s">
        <v>1848</v>
      </c>
      <c r="I11" s="3"/>
      <c r="J11" s="2"/>
    </row>
    <row r="12" spans="1:10" s="1" customFormat="1" ht="12.75">
      <c r="A12" s="1">
        <f t="shared" si="0"/>
        <v>11</v>
      </c>
      <c r="B12" s="1">
        <v>11</v>
      </c>
      <c r="C12" s="2" t="s">
        <v>59</v>
      </c>
      <c r="D12" s="2" t="s">
        <v>37</v>
      </c>
      <c r="E12" s="3">
        <v>0.45</v>
      </c>
      <c r="F12" s="2" t="s">
        <v>62</v>
      </c>
      <c r="G12" s="2" t="s">
        <v>2498</v>
      </c>
      <c r="H12" s="2" t="s">
        <v>1848</v>
      </c>
      <c r="I12" s="3"/>
      <c r="J12" s="2"/>
    </row>
    <row r="13" spans="1:10" s="1" customFormat="1" ht="12.75">
      <c r="A13" s="1">
        <f t="shared" si="0"/>
        <v>12</v>
      </c>
      <c r="B13" s="1">
        <v>12</v>
      </c>
      <c r="C13" s="2" t="s">
        <v>48</v>
      </c>
      <c r="D13" s="2" t="s">
        <v>61</v>
      </c>
      <c r="E13" s="3">
        <v>0.5</v>
      </c>
      <c r="F13" s="2" t="s">
        <v>62</v>
      </c>
      <c r="G13" s="2" t="s">
        <v>2498</v>
      </c>
      <c r="H13" s="2" t="s">
        <v>1848</v>
      </c>
      <c r="I13" s="3"/>
      <c r="J13" s="2"/>
    </row>
    <row r="14" spans="1:10" s="1" customFormat="1" ht="12.75">
      <c r="A14" s="1">
        <f t="shared" si="0"/>
        <v>13</v>
      </c>
      <c r="B14" s="1">
        <v>13</v>
      </c>
      <c r="C14" s="2" t="s">
        <v>48</v>
      </c>
      <c r="D14" s="2" t="s">
        <v>61</v>
      </c>
      <c r="E14" s="3">
        <v>0.55</v>
      </c>
      <c r="F14" s="2" t="s">
        <v>64</v>
      </c>
      <c r="G14" s="2" t="s">
        <v>2498</v>
      </c>
      <c r="H14" s="2" t="s">
        <v>1848</v>
      </c>
      <c r="I14" s="3"/>
      <c r="J14" s="2"/>
    </row>
    <row r="15" spans="1:10" s="1" customFormat="1" ht="12.75">
      <c r="A15" s="1">
        <f t="shared" si="0"/>
        <v>14</v>
      </c>
      <c r="B15" s="1">
        <v>14</v>
      </c>
      <c r="C15" s="2" t="s">
        <v>60</v>
      </c>
      <c r="D15" s="2" t="s">
        <v>62</v>
      </c>
      <c r="E15" s="3">
        <v>0.6</v>
      </c>
      <c r="F15" s="2" t="s">
        <v>64</v>
      </c>
      <c r="G15" s="2" t="s">
        <v>2498</v>
      </c>
      <c r="H15" s="2" t="s">
        <v>1848</v>
      </c>
      <c r="I15" s="3"/>
      <c r="J15" s="2"/>
    </row>
    <row r="16" spans="1:10" s="1" customFormat="1" ht="12.75">
      <c r="A16" s="1">
        <f t="shared" si="0"/>
        <v>15</v>
      </c>
      <c r="B16" s="1">
        <v>15</v>
      </c>
      <c r="C16" s="2" t="s">
        <v>60</v>
      </c>
      <c r="D16" s="2" t="s">
        <v>62</v>
      </c>
      <c r="E16" s="3">
        <v>0.65</v>
      </c>
      <c r="F16" s="2" t="s">
        <v>51</v>
      </c>
      <c r="G16" s="2" t="s">
        <v>2498</v>
      </c>
      <c r="H16" s="2" t="s">
        <v>1848</v>
      </c>
      <c r="I16" s="3"/>
      <c r="J16" s="2"/>
    </row>
    <row r="17" spans="1:10" s="1" customFormat="1" ht="12.75">
      <c r="A17" s="1">
        <f t="shared" si="0"/>
        <v>16</v>
      </c>
      <c r="B17" s="1">
        <v>16</v>
      </c>
      <c r="C17" s="2" t="s">
        <v>37</v>
      </c>
      <c r="D17" s="2" t="s">
        <v>63</v>
      </c>
      <c r="E17" s="3">
        <v>0.7</v>
      </c>
      <c r="F17" s="2" t="s">
        <v>51</v>
      </c>
      <c r="G17" s="2" t="s">
        <v>2498</v>
      </c>
      <c r="H17" s="2" t="s">
        <v>1848</v>
      </c>
      <c r="I17" s="3"/>
      <c r="J17" s="2"/>
    </row>
    <row r="18" spans="1:10" s="1" customFormat="1" ht="12.75">
      <c r="A18" s="1">
        <f t="shared" si="0"/>
        <v>17</v>
      </c>
      <c r="B18" s="1">
        <v>17</v>
      </c>
      <c r="C18" s="2" t="s">
        <v>61</v>
      </c>
      <c r="D18" s="2" t="s">
        <v>63</v>
      </c>
      <c r="E18" s="3">
        <v>0.75</v>
      </c>
      <c r="F18" s="2" t="s">
        <v>72</v>
      </c>
      <c r="G18" s="2" t="s">
        <v>2498</v>
      </c>
      <c r="H18" s="2" t="s">
        <v>1848</v>
      </c>
      <c r="I18" s="3"/>
      <c r="J18" s="2"/>
    </row>
    <row r="19" spans="1:10" s="1" customFormat="1" ht="12.75">
      <c r="A19" s="1">
        <f t="shared" si="0"/>
        <v>18</v>
      </c>
      <c r="B19" s="1">
        <v>18</v>
      </c>
      <c r="C19" s="2" t="s">
        <v>62</v>
      </c>
      <c r="D19" s="2" t="s">
        <v>64</v>
      </c>
      <c r="E19" s="3">
        <v>0.85</v>
      </c>
      <c r="F19" s="2" t="s">
        <v>138</v>
      </c>
      <c r="G19" s="2" t="s">
        <v>2498</v>
      </c>
      <c r="H19" s="2" t="s">
        <v>1848</v>
      </c>
      <c r="I19" s="3"/>
      <c r="J19" s="2"/>
    </row>
    <row r="20" spans="1:8" s="4" customFormat="1" ht="12.75">
      <c r="A20" s="1">
        <f t="shared" si="0"/>
        <v>19</v>
      </c>
      <c r="B20" s="4">
        <v>19</v>
      </c>
      <c r="C20" s="2" t="s">
        <v>63</v>
      </c>
      <c r="D20" s="2" t="s">
        <v>64</v>
      </c>
      <c r="E20" s="3">
        <v>0.95</v>
      </c>
      <c r="F20" s="2" t="s">
        <v>139</v>
      </c>
      <c r="G20" s="8" t="s">
        <v>140</v>
      </c>
      <c r="H20" s="2" t="s">
        <v>1848</v>
      </c>
    </row>
    <row r="21" spans="1:8" s="4" customFormat="1" ht="12.75">
      <c r="A21" s="1">
        <f t="shared" si="0"/>
        <v>20</v>
      </c>
      <c r="B21" s="4">
        <v>20</v>
      </c>
      <c r="C21" s="2" t="s">
        <v>64</v>
      </c>
      <c r="D21" s="2" t="s">
        <v>64</v>
      </c>
      <c r="E21" s="3">
        <v>0.96</v>
      </c>
      <c r="F21" s="2" t="s">
        <v>139</v>
      </c>
      <c r="G21" s="8" t="s">
        <v>141</v>
      </c>
      <c r="H21" s="2" t="s">
        <v>1848</v>
      </c>
    </row>
    <row r="22" spans="1:8" s="4" customFormat="1" ht="12.75">
      <c r="A22" s="1">
        <f t="shared" si="0"/>
        <v>21</v>
      </c>
      <c r="B22" s="4">
        <v>21</v>
      </c>
      <c r="C22" s="2" t="s">
        <v>38</v>
      </c>
      <c r="D22" s="2" t="s">
        <v>64</v>
      </c>
      <c r="E22" s="3">
        <v>0.97</v>
      </c>
      <c r="F22" s="2" t="s">
        <v>139</v>
      </c>
      <c r="G22" s="8" t="s">
        <v>142</v>
      </c>
      <c r="H22" s="2" t="s">
        <v>1848</v>
      </c>
    </row>
    <row r="23" spans="1:8" s="4" customFormat="1" ht="12.75">
      <c r="A23" s="1">
        <f t="shared" si="0"/>
        <v>22</v>
      </c>
      <c r="B23" s="4">
        <v>22</v>
      </c>
      <c r="C23" s="2" t="s">
        <v>51</v>
      </c>
      <c r="D23" s="2" t="s">
        <v>64</v>
      </c>
      <c r="E23" s="3">
        <v>0.98</v>
      </c>
      <c r="F23" s="2" t="s">
        <v>139</v>
      </c>
      <c r="G23" s="8" t="s">
        <v>143</v>
      </c>
      <c r="H23" s="2" t="s">
        <v>1848</v>
      </c>
    </row>
    <row r="24" spans="1:8" s="4" customFormat="1" ht="12.75">
      <c r="A24" s="1">
        <f t="shared" si="0"/>
        <v>23</v>
      </c>
      <c r="B24" s="4">
        <v>23</v>
      </c>
      <c r="C24" s="2" t="s">
        <v>65</v>
      </c>
      <c r="D24" s="2" t="s">
        <v>64</v>
      </c>
      <c r="E24" s="3">
        <v>0.99</v>
      </c>
      <c r="F24" s="2" t="s">
        <v>139</v>
      </c>
      <c r="G24" s="8" t="s">
        <v>144</v>
      </c>
      <c r="H24" s="2" t="s">
        <v>1848</v>
      </c>
    </row>
    <row r="25" spans="1:8" s="4" customFormat="1" ht="12.75">
      <c r="A25" s="1">
        <f t="shared" si="0"/>
        <v>24</v>
      </c>
      <c r="B25" s="4">
        <v>24</v>
      </c>
      <c r="C25" s="2" t="s">
        <v>68</v>
      </c>
      <c r="D25" s="2" t="s">
        <v>64</v>
      </c>
      <c r="E25" s="3">
        <v>1</v>
      </c>
      <c r="F25" s="2" t="s">
        <v>139</v>
      </c>
      <c r="G25" s="8" t="s">
        <v>145</v>
      </c>
      <c r="H25" s="2" t="s">
        <v>1848</v>
      </c>
    </row>
    <row r="26" spans="1:8" s="4" customFormat="1" ht="12.75">
      <c r="A26" s="1">
        <f t="shared" si="0"/>
        <v>25</v>
      </c>
      <c r="B26" s="4">
        <v>25</v>
      </c>
      <c r="C26" s="2" t="s">
        <v>39</v>
      </c>
      <c r="D26" s="2" t="s">
        <v>64</v>
      </c>
      <c r="E26" s="3">
        <v>1</v>
      </c>
      <c r="F26" s="2" t="s">
        <v>139</v>
      </c>
      <c r="G26" s="8" t="s">
        <v>146</v>
      </c>
      <c r="H26" s="2" t="s">
        <v>1848</v>
      </c>
    </row>
  </sheetData>
  <sheetProtection password="C795" sheet="1" objects="1" scenarios="1"/>
  <printOptions horizontalCentered="1"/>
  <pageMargins left="0.1968503937007874" right="0.1968503937007874" top="0.1968503937007874" bottom="0.1968503937007874" header="0.5118110236220472"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sheetPr codeName="Tabelle12"/>
  <dimension ref="A1:J26"/>
  <sheetViews>
    <sheetView workbookViewId="0" topLeftCell="A1">
      <selection activeCell="A2" sqref="A2"/>
    </sheetView>
  </sheetViews>
  <sheetFormatPr defaultColWidth="11.421875" defaultRowHeight="12.75"/>
  <cols>
    <col min="1" max="1" width="11.421875" style="7" customWidth="1"/>
    <col min="2" max="2" width="9.8515625" style="7" customWidth="1"/>
    <col min="3" max="3" width="16.8515625" style="7" customWidth="1"/>
    <col min="4" max="4" width="17.421875" style="7" customWidth="1"/>
    <col min="5" max="5" width="22.28125" style="7" customWidth="1"/>
    <col min="6" max="6" width="27.00390625" style="7" bestFit="1" customWidth="1"/>
    <col min="7" max="7" width="11.421875" style="7" customWidth="1"/>
    <col min="8" max="8" width="22.421875" style="7" customWidth="1"/>
    <col min="9" max="16384" width="11.421875" style="7" customWidth="1"/>
  </cols>
  <sheetData>
    <row r="1" spans="2:10" s="75" customFormat="1" ht="9">
      <c r="B1" s="75" t="s">
        <v>2483</v>
      </c>
      <c r="C1" s="76" t="s">
        <v>147</v>
      </c>
      <c r="D1" s="76" t="s">
        <v>148</v>
      </c>
      <c r="E1" s="76" t="s">
        <v>149</v>
      </c>
      <c r="F1" s="76" t="s">
        <v>150</v>
      </c>
      <c r="G1" s="76"/>
      <c r="H1" s="76"/>
      <c r="I1" s="76"/>
      <c r="J1" s="76"/>
    </row>
    <row r="2" spans="1:10" s="1" customFormat="1" ht="12.75">
      <c r="A2" s="1">
        <v>1</v>
      </c>
      <c r="B2" s="1">
        <v>1</v>
      </c>
      <c r="C2" s="2" t="s">
        <v>118</v>
      </c>
      <c r="D2" s="2" t="s">
        <v>1848</v>
      </c>
      <c r="E2" s="3">
        <v>0.8</v>
      </c>
      <c r="F2" s="78" t="s">
        <v>2498</v>
      </c>
      <c r="G2" s="2" t="s">
        <v>1848</v>
      </c>
      <c r="H2" s="2"/>
      <c r="I2" s="3"/>
      <c r="J2" s="2"/>
    </row>
    <row r="3" spans="1:10" s="1" customFormat="1" ht="12.75">
      <c r="A3" s="1">
        <f>A2+1</f>
        <v>2</v>
      </c>
      <c r="B3" s="1">
        <v>2</v>
      </c>
      <c r="C3" s="2" t="s">
        <v>2497</v>
      </c>
      <c r="D3" s="2" t="s">
        <v>1848</v>
      </c>
      <c r="E3" s="3">
        <v>0.6</v>
      </c>
      <c r="F3" s="78" t="s">
        <v>2498</v>
      </c>
      <c r="G3" s="2" t="s">
        <v>1848</v>
      </c>
      <c r="H3" s="2"/>
      <c r="I3" s="3"/>
      <c r="J3" s="2"/>
    </row>
    <row r="4" spans="1:10" s="1" customFormat="1" ht="12.75">
      <c r="A4" s="1">
        <f aca="true" t="shared" si="0" ref="A4:A26">A3+1</f>
        <v>3</v>
      </c>
      <c r="B4" s="1">
        <v>3</v>
      </c>
      <c r="C4" s="2" t="s">
        <v>2492</v>
      </c>
      <c r="D4" s="2" t="s">
        <v>1848</v>
      </c>
      <c r="E4" s="3">
        <v>0.5</v>
      </c>
      <c r="F4" s="78" t="s">
        <v>2498</v>
      </c>
      <c r="G4" s="2" t="s">
        <v>1848</v>
      </c>
      <c r="H4" s="2"/>
      <c r="I4" s="3"/>
      <c r="J4" s="2"/>
    </row>
    <row r="5" spans="1:10" s="1" customFormat="1" ht="12.75">
      <c r="A5" s="1">
        <f t="shared" si="0"/>
        <v>4</v>
      </c>
      <c r="B5" s="1">
        <v>4</v>
      </c>
      <c r="C5" s="2" t="s">
        <v>2493</v>
      </c>
      <c r="D5" s="2" t="s">
        <v>1848</v>
      </c>
      <c r="E5" s="3">
        <v>0.45</v>
      </c>
      <c r="F5" s="78" t="s">
        <v>2498</v>
      </c>
      <c r="G5" s="2" t="s">
        <v>1848</v>
      </c>
      <c r="H5" s="2"/>
      <c r="I5" s="3"/>
      <c r="J5" s="2"/>
    </row>
    <row r="6" spans="1:10" s="1" customFormat="1" ht="12.75">
      <c r="A6" s="1">
        <f t="shared" si="0"/>
        <v>5</v>
      </c>
      <c r="B6" s="1">
        <v>5</v>
      </c>
      <c r="C6" s="2" t="s">
        <v>2494</v>
      </c>
      <c r="D6" s="2" t="s">
        <v>1848</v>
      </c>
      <c r="E6" s="3">
        <v>0.4</v>
      </c>
      <c r="F6" s="78" t="s">
        <v>2498</v>
      </c>
      <c r="G6" s="2" t="s">
        <v>1848</v>
      </c>
      <c r="H6" s="2"/>
      <c r="I6" s="3"/>
      <c r="J6" s="2"/>
    </row>
    <row r="7" spans="1:10" s="1" customFormat="1" ht="12.75">
      <c r="A7" s="1">
        <f t="shared" si="0"/>
        <v>6</v>
      </c>
      <c r="B7" s="1">
        <v>6</v>
      </c>
      <c r="C7" s="2" t="s">
        <v>2494</v>
      </c>
      <c r="D7" s="2" t="s">
        <v>1848</v>
      </c>
      <c r="E7" s="3">
        <v>0.35</v>
      </c>
      <c r="F7" s="78" t="s">
        <v>2498</v>
      </c>
      <c r="G7" s="2" t="s">
        <v>1848</v>
      </c>
      <c r="H7" s="2"/>
      <c r="I7" s="3"/>
      <c r="J7" s="2"/>
    </row>
    <row r="8" spans="1:10" s="1" customFormat="1" ht="12.75">
      <c r="A8" s="1">
        <f t="shared" si="0"/>
        <v>7</v>
      </c>
      <c r="B8" s="1">
        <v>7</v>
      </c>
      <c r="C8" s="2" t="s">
        <v>2494</v>
      </c>
      <c r="D8" s="2" t="s">
        <v>1848</v>
      </c>
      <c r="E8" s="3">
        <v>0.3</v>
      </c>
      <c r="F8" s="78" t="s">
        <v>2498</v>
      </c>
      <c r="G8" s="2" t="s">
        <v>1848</v>
      </c>
      <c r="H8" s="2"/>
      <c r="I8" s="3"/>
      <c r="J8" s="2"/>
    </row>
    <row r="9" spans="1:10" s="1" customFormat="1" ht="12.75">
      <c r="A9" s="1">
        <f t="shared" si="0"/>
        <v>8</v>
      </c>
      <c r="B9" s="1">
        <v>8</v>
      </c>
      <c r="C9" s="2" t="s">
        <v>119</v>
      </c>
      <c r="D9" s="2" t="s">
        <v>1848</v>
      </c>
      <c r="E9" s="3">
        <v>0.25</v>
      </c>
      <c r="F9" s="78" t="s">
        <v>2498</v>
      </c>
      <c r="G9" s="2" t="s">
        <v>1848</v>
      </c>
      <c r="H9" s="2"/>
      <c r="I9" s="3"/>
      <c r="J9" s="2"/>
    </row>
    <row r="10" spans="1:10" s="1" customFormat="1" ht="12.75">
      <c r="A10" s="1">
        <f t="shared" si="0"/>
        <v>9</v>
      </c>
      <c r="B10" s="1">
        <v>9</v>
      </c>
      <c r="C10" s="2" t="s">
        <v>119</v>
      </c>
      <c r="D10" s="2" t="s">
        <v>119</v>
      </c>
      <c r="E10" s="3">
        <v>0.2</v>
      </c>
      <c r="F10" s="78" t="s">
        <v>2498</v>
      </c>
      <c r="G10" s="2" t="s">
        <v>1848</v>
      </c>
      <c r="H10" s="2"/>
      <c r="I10" s="3"/>
      <c r="J10" s="2"/>
    </row>
    <row r="11" spans="1:10" s="1" customFormat="1" ht="12.75">
      <c r="A11" s="1">
        <f t="shared" si="0"/>
        <v>10</v>
      </c>
      <c r="B11" s="1">
        <v>10</v>
      </c>
      <c r="C11" s="2" t="s">
        <v>119</v>
      </c>
      <c r="D11" s="2" t="s">
        <v>119</v>
      </c>
      <c r="E11" s="3">
        <v>0.15</v>
      </c>
      <c r="F11" s="78" t="s">
        <v>2498</v>
      </c>
      <c r="G11" s="2" t="s">
        <v>1848</v>
      </c>
      <c r="H11" s="2"/>
      <c r="I11" s="3"/>
      <c r="J11" s="2"/>
    </row>
    <row r="12" spans="1:10" s="1" customFormat="1" ht="12.75">
      <c r="A12" s="1">
        <f t="shared" si="0"/>
        <v>11</v>
      </c>
      <c r="B12" s="1">
        <v>11</v>
      </c>
      <c r="C12" s="2" t="s">
        <v>119</v>
      </c>
      <c r="D12" s="2" t="s">
        <v>119</v>
      </c>
      <c r="E12" s="3">
        <v>0.1</v>
      </c>
      <c r="F12" s="78" t="s">
        <v>2498</v>
      </c>
      <c r="G12" s="2" t="s">
        <v>1848</v>
      </c>
      <c r="H12" s="2"/>
      <c r="I12" s="3"/>
      <c r="J12" s="2"/>
    </row>
    <row r="13" spans="1:10" s="1" customFormat="1" ht="12.75">
      <c r="A13" s="1">
        <f t="shared" si="0"/>
        <v>12</v>
      </c>
      <c r="B13" s="1">
        <v>12</v>
      </c>
      <c r="C13" s="2" t="s">
        <v>119</v>
      </c>
      <c r="D13" s="2" t="s">
        <v>119</v>
      </c>
      <c r="E13" s="3">
        <v>0.05</v>
      </c>
      <c r="F13" s="78" t="s">
        <v>2498</v>
      </c>
      <c r="G13" s="2" t="s">
        <v>1848</v>
      </c>
      <c r="H13" s="2"/>
      <c r="I13" s="3"/>
      <c r="J13" s="2"/>
    </row>
    <row r="14" spans="1:10" s="1" customFormat="1" ht="12.75">
      <c r="A14" s="1">
        <f t="shared" si="0"/>
        <v>13</v>
      </c>
      <c r="B14" s="1">
        <v>13</v>
      </c>
      <c r="C14" s="2" t="s">
        <v>119</v>
      </c>
      <c r="D14" s="2" t="s">
        <v>151</v>
      </c>
      <c r="E14" s="3">
        <v>0</v>
      </c>
      <c r="F14" s="78" t="s">
        <v>2498</v>
      </c>
      <c r="G14" s="2" t="s">
        <v>1848</v>
      </c>
      <c r="H14" s="2"/>
      <c r="I14" s="3"/>
      <c r="J14" s="2"/>
    </row>
    <row r="15" spans="1:10" s="1" customFormat="1" ht="12.75">
      <c r="A15" s="1">
        <f t="shared" si="0"/>
        <v>14</v>
      </c>
      <c r="B15" s="1">
        <v>14</v>
      </c>
      <c r="C15" s="2" t="s">
        <v>119</v>
      </c>
      <c r="D15" s="2" t="s">
        <v>151</v>
      </c>
      <c r="E15" s="3">
        <v>0</v>
      </c>
      <c r="F15" s="78" t="s">
        <v>2498</v>
      </c>
      <c r="G15" s="2" t="s">
        <v>1848</v>
      </c>
      <c r="H15" s="2"/>
      <c r="I15" s="3"/>
      <c r="J15" s="2"/>
    </row>
    <row r="16" spans="1:10" s="1" customFormat="1" ht="12.75">
      <c r="A16" s="1">
        <f t="shared" si="0"/>
        <v>15</v>
      </c>
      <c r="B16" s="1">
        <v>15</v>
      </c>
      <c r="C16" s="2" t="s">
        <v>2496</v>
      </c>
      <c r="D16" s="2" t="s">
        <v>152</v>
      </c>
      <c r="E16" s="3">
        <v>0</v>
      </c>
      <c r="F16" s="78" t="s">
        <v>2498</v>
      </c>
      <c r="G16" s="2" t="s">
        <v>1848</v>
      </c>
      <c r="H16" s="2"/>
      <c r="I16" s="3"/>
      <c r="J16" s="2"/>
    </row>
    <row r="17" spans="1:10" s="1" customFormat="1" ht="12.75">
      <c r="A17" s="1">
        <f t="shared" si="0"/>
        <v>16</v>
      </c>
      <c r="B17" s="1">
        <v>16</v>
      </c>
      <c r="C17" s="2" t="s">
        <v>2499</v>
      </c>
      <c r="D17" s="2" t="s">
        <v>152</v>
      </c>
      <c r="E17" s="3">
        <v>0</v>
      </c>
      <c r="F17" s="78" t="s">
        <v>2498</v>
      </c>
      <c r="G17" s="2" t="s">
        <v>1848</v>
      </c>
      <c r="H17" s="2"/>
      <c r="I17" s="3"/>
      <c r="J17" s="2"/>
    </row>
    <row r="18" spans="1:10" s="1" customFormat="1" ht="12.75">
      <c r="A18" s="1">
        <f t="shared" si="0"/>
        <v>17</v>
      </c>
      <c r="B18" s="1">
        <v>17</v>
      </c>
      <c r="C18" s="2" t="s">
        <v>35</v>
      </c>
      <c r="D18" s="2" t="s">
        <v>153</v>
      </c>
      <c r="E18" s="3">
        <v>0</v>
      </c>
      <c r="F18" s="78" t="s">
        <v>2498</v>
      </c>
      <c r="G18" s="2" t="s">
        <v>1848</v>
      </c>
      <c r="H18" s="2"/>
      <c r="I18" s="3"/>
      <c r="J18" s="2"/>
    </row>
    <row r="19" spans="1:10" s="1" customFormat="1" ht="12.75">
      <c r="A19" s="1">
        <f t="shared" si="0"/>
        <v>18</v>
      </c>
      <c r="B19" s="1">
        <v>18</v>
      </c>
      <c r="C19" s="2" t="s">
        <v>69</v>
      </c>
      <c r="D19" s="2" t="s">
        <v>137</v>
      </c>
      <c r="E19" s="3">
        <v>0</v>
      </c>
      <c r="F19" s="78" t="s">
        <v>2498</v>
      </c>
      <c r="G19" s="2" t="s">
        <v>1848</v>
      </c>
      <c r="H19" s="2"/>
      <c r="I19" s="3"/>
      <c r="J19" s="2"/>
    </row>
    <row r="20" spans="1:8" s="1" customFormat="1" ht="16.5">
      <c r="A20" s="1">
        <f t="shared" si="0"/>
        <v>19</v>
      </c>
      <c r="B20" s="1">
        <v>19</v>
      </c>
      <c r="C20" s="2" t="s">
        <v>69</v>
      </c>
      <c r="D20" s="2" t="s">
        <v>154</v>
      </c>
      <c r="E20" s="3">
        <v>0</v>
      </c>
      <c r="F20" s="6" t="s">
        <v>161</v>
      </c>
      <c r="G20" s="2" t="s">
        <v>1848</v>
      </c>
      <c r="H20" s="2"/>
    </row>
    <row r="21" spans="1:7" s="1" customFormat="1" ht="16.5">
      <c r="A21" s="1">
        <f t="shared" si="0"/>
        <v>20</v>
      </c>
      <c r="B21" s="1">
        <v>20</v>
      </c>
      <c r="C21" s="2" t="s">
        <v>69</v>
      </c>
      <c r="D21" s="2" t="s">
        <v>155</v>
      </c>
      <c r="E21" s="3">
        <v>0</v>
      </c>
      <c r="F21" s="6" t="s">
        <v>162</v>
      </c>
      <c r="G21" s="2" t="s">
        <v>1848</v>
      </c>
    </row>
    <row r="22" spans="1:7" s="1" customFormat="1" ht="16.5">
      <c r="A22" s="1">
        <f t="shared" si="0"/>
        <v>21</v>
      </c>
      <c r="B22" s="1">
        <v>21</v>
      </c>
      <c r="C22" s="2" t="s">
        <v>69</v>
      </c>
      <c r="D22" s="2" t="s">
        <v>156</v>
      </c>
      <c r="E22" s="3">
        <v>0</v>
      </c>
      <c r="F22" s="6" t="s">
        <v>163</v>
      </c>
      <c r="G22" s="2" t="s">
        <v>1848</v>
      </c>
    </row>
    <row r="23" spans="1:7" s="1" customFormat="1" ht="16.5">
      <c r="A23" s="1">
        <f t="shared" si="0"/>
        <v>22</v>
      </c>
      <c r="B23" s="1">
        <v>22</v>
      </c>
      <c r="C23" s="2" t="s">
        <v>69</v>
      </c>
      <c r="D23" s="2" t="s">
        <v>157</v>
      </c>
      <c r="E23" s="3">
        <v>0</v>
      </c>
      <c r="F23" s="6" t="s">
        <v>163</v>
      </c>
      <c r="G23" s="2" t="s">
        <v>1848</v>
      </c>
    </row>
    <row r="24" spans="1:7" s="1" customFormat="1" ht="16.5">
      <c r="A24" s="1">
        <f t="shared" si="0"/>
        <v>23</v>
      </c>
      <c r="B24" s="1">
        <v>23</v>
      </c>
      <c r="C24" s="2" t="s">
        <v>69</v>
      </c>
      <c r="D24" s="2" t="s">
        <v>158</v>
      </c>
      <c r="E24" s="3">
        <v>0</v>
      </c>
      <c r="F24" s="6" t="s">
        <v>164</v>
      </c>
      <c r="G24" s="2" t="s">
        <v>1848</v>
      </c>
    </row>
    <row r="25" spans="1:7" s="1" customFormat="1" ht="16.5">
      <c r="A25" s="1">
        <f t="shared" si="0"/>
        <v>24</v>
      </c>
      <c r="B25" s="1">
        <v>24</v>
      </c>
      <c r="C25" s="2" t="s">
        <v>69</v>
      </c>
      <c r="D25" s="2" t="s">
        <v>159</v>
      </c>
      <c r="E25" s="3">
        <v>0</v>
      </c>
      <c r="F25" s="6" t="s">
        <v>164</v>
      </c>
      <c r="G25" s="2" t="s">
        <v>1848</v>
      </c>
    </row>
    <row r="26" spans="1:7" s="1" customFormat="1" ht="16.5">
      <c r="A26" s="1">
        <f t="shared" si="0"/>
        <v>25</v>
      </c>
      <c r="B26" s="1">
        <v>25</v>
      </c>
      <c r="C26" s="2" t="s">
        <v>69</v>
      </c>
      <c r="D26" s="2" t="s">
        <v>160</v>
      </c>
      <c r="E26" s="3">
        <v>0</v>
      </c>
      <c r="F26" s="6" t="s">
        <v>165</v>
      </c>
      <c r="G26" s="2" t="s">
        <v>1848</v>
      </c>
    </row>
  </sheetData>
  <sheetProtection password="C795" sheet="1" objects="1" scenarios="1"/>
  <printOptions horizontalCentered="1"/>
  <pageMargins left="0.1968503937007874" right="0.1968503937007874" top="0.1968503937007874" bottom="0.1968503937007874" header="0.5118110236220472" footer="0.5118110236220472"/>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sheetPr codeName="Tabelle13"/>
  <dimension ref="A1:I26"/>
  <sheetViews>
    <sheetView workbookViewId="0" topLeftCell="A1">
      <selection activeCell="A2" sqref="A2"/>
    </sheetView>
  </sheetViews>
  <sheetFormatPr defaultColWidth="11.421875" defaultRowHeight="12.75"/>
  <cols>
    <col min="1" max="1" width="11.421875" style="5" customWidth="1"/>
    <col min="2" max="2" width="9.8515625" style="5" customWidth="1"/>
    <col min="3" max="3" width="21.8515625" style="5" customWidth="1"/>
    <col min="4" max="4" width="11.421875" style="5" customWidth="1"/>
    <col min="5" max="5" width="12.28125" style="5" customWidth="1"/>
    <col min="6" max="7" width="11.421875" style="5" customWidth="1"/>
    <col min="8" max="8" width="22.421875" style="5" customWidth="1"/>
    <col min="9" max="16384" width="11.421875" style="5" customWidth="1"/>
  </cols>
  <sheetData>
    <row r="1" spans="2:9" s="75" customFormat="1" ht="9">
      <c r="B1" s="75" t="s">
        <v>2483</v>
      </c>
      <c r="C1" s="76" t="s">
        <v>166</v>
      </c>
      <c r="D1" s="76" t="s">
        <v>167</v>
      </c>
      <c r="E1" s="76" t="s">
        <v>115</v>
      </c>
      <c r="F1" s="76"/>
      <c r="G1" s="76"/>
      <c r="H1" s="76"/>
      <c r="I1" s="76"/>
    </row>
    <row r="2" spans="1:9" s="1" customFormat="1" ht="12.75">
      <c r="A2" s="1">
        <v>1</v>
      </c>
      <c r="B2" s="1">
        <v>1</v>
      </c>
      <c r="C2" s="2" t="s">
        <v>119</v>
      </c>
      <c r="D2" s="2" t="s">
        <v>171</v>
      </c>
      <c r="E2" s="2" t="s">
        <v>172</v>
      </c>
      <c r="F2" s="2" t="s">
        <v>1848</v>
      </c>
      <c r="G2" s="2"/>
      <c r="H2" s="3"/>
      <c r="I2" s="2"/>
    </row>
    <row r="3" spans="1:9" s="1" customFormat="1" ht="12.75">
      <c r="A3" s="1">
        <f>A2+1</f>
        <v>2</v>
      </c>
      <c r="B3" s="1">
        <v>2</v>
      </c>
      <c r="C3" s="2" t="s">
        <v>36</v>
      </c>
      <c r="D3" s="2" t="s">
        <v>172</v>
      </c>
      <c r="E3" s="2" t="s">
        <v>118</v>
      </c>
      <c r="F3" s="2" t="s">
        <v>1848</v>
      </c>
      <c r="G3" s="2"/>
      <c r="H3" s="3"/>
      <c r="I3" s="2"/>
    </row>
    <row r="4" spans="1:9" s="1" customFormat="1" ht="12.75">
      <c r="A4" s="1">
        <f aca="true" t="shared" si="0" ref="A4:A26">A3+1</f>
        <v>3</v>
      </c>
      <c r="B4" s="1">
        <v>3</v>
      </c>
      <c r="C4" s="2" t="s">
        <v>36</v>
      </c>
      <c r="D4" s="2" t="s">
        <v>118</v>
      </c>
      <c r="E4" s="2" t="s">
        <v>2491</v>
      </c>
      <c r="F4" s="2" t="s">
        <v>1848</v>
      </c>
      <c r="G4" s="2"/>
      <c r="H4" s="3"/>
      <c r="I4" s="2"/>
    </row>
    <row r="5" spans="1:9" s="1" customFormat="1" ht="12.75">
      <c r="A5" s="1">
        <f t="shared" si="0"/>
        <v>4</v>
      </c>
      <c r="B5" s="1">
        <v>4</v>
      </c>
      <c r="C5" s="2" t="s">
        <v>36</v>
      </c>
      <c r="D5" s="2" t="s">
        <v>2491</v>
      </c>
      <c r="E5" s="2" t="s">
        <v>2497</v>
      </c>
      <c r="F5" s="2" t="s">
        <v>1848</v>
      </c>
      <c r="G5" s="2"/>
      <c r="H5" s="3"/>
      <c r="I5" s="2"/>
    </row>
    <row r="6" spans="1:9" s="1" customFormat="1" ht="12.75">
      <c r="A6" s="1">
        <f t="shared" si="0"/>
        <v>5</v>
      </c>
      <c r="B6" s="1">
        <v>5</v>
      </c>
      <c r="C6" s="2" t="s">
        <v>59</v>
      </c>
      <c r="D6" s="2" t="s">
        <v>2497</v>
      </c>
      <c r="E6" s="2" t="s">
        <v>2492</v>
      </c>
      <c r="F6" s="2" t="s">
        <v>1848</v>
      </c>
      <c r="G6" s="2"/>
      <c r="H6" s="3"/>
      <c r="I6" s="2"/>
    </row>
    <row r="7" spans="1:9" s="1" customFormat="1" ht="12.75">
      <c r="A7" s="1">
        <f t="shared" si="0"/>
        <v>6</v>
      </c>
      <c r="B7" s="1">
        <v>6</v>
      </c>
      <c r="C7" s="2" t="s">
        <v>59</v>
      </c>
      <c r="D7" s="2" t="s">
        <v>2492</v>
      </c>
      <c r="E7" s="2" t="s">
        <v>2493</v>
      </c>
      <c r="F7" s="2" t="s">
        <v>1848</v>
      </c>
      <c r="G7" s="2"/>
      <c r="H7" s="3"/>
      <c r="I7" s="2"/>
    </row>
    <row r="8" spans="1:9" s="1" customFormat="1" ht="12.75">
      <c r="A8" s="1">
        <f t="shared" si="0"/>
        <v>7</v>
      </c>
      <c r="B8" s="1">
        <v>7</v>
      </c>
      <c r="C8" s="2" t="s">
        <v>48</v>
      </c>
      <c r="D8" s="2" t="s">
        <v>2493</v>
      </c>
      <c r="E8" s="2" t="s">
        <v>2494</v>
      </c>
      <c r="F8" s="2" t="s">
        <v>1848</v>
      </c>
      <c r="G8" s="2"/>
      <c r="H8" s="3"/>
      <c r="I8" s="2"/>
    </row>
    <row r="9" spans="1:9" s="1" customFormat="1" ht="12.75">
      <c r="A9" s="1">
        <f t="shared" si="0"/>
        <v>8</v>
      </c>
      <c r="B9" s="1">
        <v>8</v>
      </c>
      <c r="C9" s="2" t="s">
        <v>48</v>
      </c>
      <c r="D9" s="2" t="s">
        <v>2494</v>
      </c>
      <c r="E9" s="2" t="s">
        <v>119</v>
      </c>
      <c r="F9" s="2" t="s">
        <v>1848</v>
      </c>
      <c r="G9" s="2"/>
      <c r="H9" s="3"/>
      <c r="I9" s="2"/>
    </row>
    <row r="10" spans="1:9" s="1" customFormat="1" ht="12.75">
      <c r="A10" s="1">
        <f t="shared" si="0"/>
        <v>9</v>
      </c>
      <c r="B10" s="1">
        <v>9</v>
      </c>
      <c r="C10" s="2" t="s">
        <v>60</v>
      </c>
      <c r="D10" s="2" t="s">
        <v>119</v>
      </c>
      <c r="E10" s="2" t="s">
        <v>119</v>
      </c>
      <c r="F10" s="2" t="s">
        <v>1848</v>
      </c>
      <c r="G10" s="2"/>
      <c r="H10" s="3"/>
      <c r="I10" s="2"/>
    </row>
    <row r="11" spans="1:9" s="1" customFormat="1" ht="12.75">
      <c r="A11" s="1">
        <f t="shared" si="0"/>
        <v>10</v>
      </c>
      <c r="B11" s="1">
        <v>10</v>
      </c>
      <c r="C11" s="2" t="s">
        <v>60</v>
      </c>
      <c r="D11" s="2" t="s">
        <v>119</v>
      </c>
      <c r="E11" s="2" t="s">
        <v>119</v>
      </c>
      <c r="F11" s="2" t="s">
        <v>1848</v>
      </c>
      <c r="G11" s="2"/>
      <c r="H11" s="3"/>
      <c r="I11" s="2"/>
    </row>
    <row r="12" spans="1:9" s="1" customFormat="1" ht="12.75">
      <c r="A12" s="1">
        <f t="shared" si="0"/>
        <v>11</v>
      </c>
      <c r="B12" s="1">
        <v>11</v>
      </c>
      <c r="C12" s="2" t="s">
        <v>60</v>
      </c>
      <c r="D12" s="2" t="s">
        <v>119</v>
      </c>
      <c r="E12" s="2" t="s">
        <v>119</v>
      </c>
      <c r="F12" s="2" t="s">
        <v>1848</v>
      </c>
      <c r="G12" s="2"/>
      <c r="H12" s="3"/>
      <c r="I12" s="2"/>
    </row>
    <row r="13" spans="1:9" s="1" customFormat="1" ht="12.75">
      <c r="A13" s="1">
        <f t="shared" si="0"/>
        <v>12</v>
      </c>
      <c r="B13" s="1">
        <v>12</v>
      </c>
      <c r="C13" s="2" t="s">
        <v>37</v>
      </c>
      <c r="D13" s="2" t="s">
        <v>119</v>
      </c>
      <c r="E13" s="2" t="s">
        <v>119</v>
      </c>
      <c r="F13" s="2" t="s">
        <v>1848</v>
      </c>
      <c r="G13" s="2"/>
      <c r="H13" s="3"/>
      <c r="I13" s="2"/>
    </row>
    <row r="14" spans="1:9" s="1" customFormat="1" ht="12.75">
      <c r="A14" s="1">
        <f t="shared" si="0"/>
        <v>13</v>
      </c>
      <c r="B14" s="1">
        <v>13</v>
      </c>
      <c r="C14" s="2" t="s">
        <v>37</v>
      </c>
      <c r="D14" s="2" t="s">
        <v>119</v>
      </c>
      <c r="E14" s="2" t="s">
        <v>2496</v>
      </c>
      <c r="F14" s="2" t="s">
        <v>1848</v>
      </c>
      <c r="G14" s="2"/>
      <c r="H14" s="3"/>
      <c r="I14" s="2"/>
    </row>
    <row r="15" spans="1:9" s="1" customFormat="1" ht="12.75">
      <c r="A15" s="1">
        <f t="shared" si="0"/>
        <v>14</v>
      </c>
      <c r="B15" s="1">
        <v>14</v>
      </c>
      <c r="C15" s="2" t="s">
        <v>61</v>
      </c>
      <c r="D15" s="2" t="s">
        <v>2496</v>
      </c>
      <c r="E15" s="2" t="s">
        <v>2499</v>
      </c>
      <c r="F15" s="2" t="s">
        <v>1848</v>
      </c>
      <c r="G15" s="2"/>
      <c r="H15" s="3"/>
      <c r="I15" s="2"/>
    </row>
    <row r="16" spans="1:9" s="1" customFormat="1" ht="12.75">
      <c r="A16" s="1">
        <f t="shared" si="0"/>
        <v>15</v>
      </c>
      <c r="B16" s="1">
        <v>15</v>
      </c>
      <c r="C16" s="2" t="s">
        <v>62</v>
      </c>
      <c r="D16" s="2" t="s">
        <v>35</v>
      </c>
      <c r="E16" s="2" t="s">
        <v>35</v>
      </c>
      <c r="F16" s="2" t="s">
        <v>1848</v>
      </c>
      <c r="G16" s="2"/>
      <c r="H16" s="3"/>
      <c r="I16" s="2"/>
    </row>
    <row r="17" spans="1:9" s="1" customFormat="1" ht="12.75">
      <c r="A17" s="1">
        <f t="shared" si="0"/>
        <v>16</v>
      </c>
      <c r="B17" s="1">
        <v>16</v>
      </c>
      <c r="C17" s="2" t="s">
        <v>63</v>
      </c>
      <c r="D17" s="2" t="s">
        <v>69</v>
      </c>
      <c r="E17" s="2" t="s">
        <v>73</v>
      </c>
      <c r="F17" s="2" t="s">
        <v>1848</v>
      </c>
      <c r="G17" s="2"/>
      <c r="H17" s="3"/>
      <c r="I17" s="2"/>
    </row>
    <row r="18" spans="1:9" s="1" customFormat="1" ht="12.75">
      <c r="A18" s="1">
        <f t="shared" si="0"/>
        <v>17</v>
      </c>
      <c r="B18" s="1">
        <v>17</v>
      </c>
      <c r="C18" s="2" t="s">
        <v>38</v>
      </c>
      <c r="D18" s="2" t="s">
        <v>77</v>
      </c>
      <c r="E18" s="2" t="s">
        <v>77</v>
      </c>
      <c r="F18" s="2" t="s">
        <v>1848</v>
      </c>
      <c r="G18" s="2"/>
      <c r="H18" s="3"/>
      <c r="I18" s="2"/>
    </row>
    <row r="19" spans="1:9" s="1" customFormat="1" ht="12.75">
      <c r="A19" s="1">
        <f t="shared" si="0"/>
        <v>18</v>
      </c>
      <c r="B19" s="1">
        <v>18</v>
      </c>
      <c r="C19" s="2" t="s">
        <v>168</v>
      </c>
      <c r="D19" s="2" t="s">
        <v>82</v>
      </c>
      <c r="E19" s="2" t="s">
        <v>81</v>
      </c>
      <c r="F19" s="2" t="s">
        <v>1848</v>
      </c>
      <c r="G19" s="2"/>
      <c r="H19" s="3"/>
      <c r="I19" s="2"/>
    </row>
    <row r="20" spans="1:6" s="4" customFormat="1" ht="12.75">
      <c r="A20" s="1">
        <f t="shared" si="0"/>
        <v>19</v>
      </c>
      <c r="B20" s="4">
        <v>19</v>
      </c>
      <c r="C20" s="2" t="s">
        <v>39</v>
      </c>
      <c r="D20" s="2" t="s">
        <v>84</v>
      </c>
      <c r="E20" s="2" t="s">
        <v>82</v>
      </c>
      <c r="F20" s="2" t="s">
        <v>1848</v>
      </c>
    </row>
    <row r="21" spans="1:6" s="4" customFormat="1" ht="12.75">
      <c r="A21" s="1">
        <f t="shared" si="0"/>
        <v>20</v>
      </c>
      <c r="B21" s="4">
        <v>20</v>
      </c>
      <c r="C21" s="2" t="s">
        <v>49</v>
      </c>
      <c r="D21" s="2" t="s">
        <v>86</v>
      </c>
      <c r="E21" s="2" t="s">
        <v>83</v>
      </c>
      <c r="F21" s="2" t="s">
        <v>1848</v>
      </c>
    </row>
    <row r="22" spans="1:6" s="4" customFormat="1" ht="12.75">
      <c r="A22" s="1">
        <f t="shared" si="0"/>
        <v>21</v>
      </c>
      <c r="B22" s="4">
        <v>21</v>
      </c>
      <c r="C22" s="2" t="s">
        <v>169</v>
      </c>
      <c r="D22" s="2" t="s">
        <v>87</v>
      </c>
      <c r="E22" s="2" t="s">
        <v>84</v>
      </c>
      <c r="F22" s="2" t="s">
        <v>1848</v>
      </c>
    </row>
    <row r="23" spans="1:6" s="4" customFormat="1" ht="12.75">
      <c r="A23" s="1">
        <f t="shared" si="0"/>
        <v>22</v>
      </c>
      <c r="B23" s="4">
        <v>22</v>
      </c>
      <c r="C23" s="2" t="s">
        <v>40</v>
      </c>
      <c r="D23" s="2" t="s">
        <v>173</v>
      </c>
      <c r="E23" s="2" t="s">
        <v>85</v>
      </c>
      <c r="F23" s="2" t="s">
        <v>1848</v>
      </c>
    </row>
    <row r="24" spans="1:6" s="4" customFormat="1" ht="12.75">
      <c r="A24" s="1">
        <f t="shared" si="0"/>
        <v>23</v>
      </c>
      <c r="B24" s="4">
        <v>23</v>
      </c>
      <c r="C24" s="2" t="s">
        <v>41</v>
      </c>
      <c r="D24" s="2" t="s">
        <v>174</v>
      </c>
      <c r="E24" s="2" t="s">
        <v>86</v>
      </c>
      <c r="F24" s="2" t="s">
        <v>1848</v>
      </c>
    </row>
    <row r="25" spans="1:6" s="4" customFormat="1" ht="12.75">
      <c r="A25" s="1">
        <f t="shared" si="0"/>
        <v>24</v>
      </c>
      <c r="B25" s="4">
        <v>24</v>
      </c>
      <c r="C25" s="2" t="s">
        <v>42</v>
      </c>
      <c r="D25" s="2" t="s">
        <v>175</v>
      </c>
      <c r="E25" s="2" t="s">
        <v>176</v>
      </c>
      <c r="F25" s="2" t="s">
        <v>1848</v>
      </c>
    </row>
    <row r="26" spans="1:6" s="4" customFormat="1" ht="12.75">
      <c r="A26" s="1">
        <f t="shared" si="0"/>
        <v>25</v>
      </c>
      <c r="B26" s="4">
        <v>25</v>
      </c>
      <c r="C26" s="2" t="s">
        <v>170</v>
      </c>
      <c r="D26" s="2" t="s">
        <v>175</v>
      </c>
      <c r="E26" s="2" t="s">
        <v>87</v>
      </c>
      <c r="F26" s="2" t="s">
        <v>1848</v>
      </c>
    </row>
  </sheetData>
  <sheetProtection password="C795" sheet="1" objects="1" scenarios="1"/>
  <printOptions horizontalCentered="1"/>
  <pageMargins left="0.1968503937007874" right="0.1968503937007874" top="0.1968503937007874" bottom="0.1968503937007874" header="0.5118110236220472" footer="0.5118110236220472"/>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sheetPr codeName="Tabelle14"/>
  <dimension ref="B2:O144"/>
  <sheetViews>
    <sheetView workbookViewId="0" topLeftCell="A1">
      <selection activeCell="C5" sqref="C5"/>
    </sheetView>
  </sheetViews>
  <sheetFormatPr defaultColWidth="11.421875" defaultRowHeight="12.75"/>
  <cols>
    <col min="1" max="1" width="3.7109375" style="88" customWidth="1"/>
    <col min="2" max="2" width="1.1484375" style="88" customWidth="1"/>
    <col min="3" max="3" width="5.57421875" style="101" customWidth="1"/>
    <col min="4" max="4" width="20.7109375" style="88" customWidth="1"/>
    <col min="5" max="9" width="11.421875" style="88" customWidth="1"/>
    <col min="10" max="15" width="12.7109375" style="88" customWidth="1"/>
    <col min="16" max="16384" width="11.421875" style="88" customWidth="1"/>
  </cols>
  <sheetData>
    <row r="2" spans="2:10" ht="4.5" customHeight="1">
      <c r="B2" s="84"/>
      <c r="C2" s="85"/>
      <c r="D2" s="86"/>
      <c r="E2" s="86"/>
      <c r="F2" s="86"/>
      <c r="G2" s="86"/>
      <c r="H2" s="86"/>
      <c r="I2" s="86"/>
      <c r="J2" s="87"/>
    </row>
    <row r="3" spans="2:11" s="92" customFormat="1" ht="12.75">
      <c r="B3" s="89"/>
      <c r="C3" s="90" t="s">
        <v>1278</v>
      </c>
      <c r="D3" s="90"/>
      <c r="E3" s="90"/>
      <c r="F3" s="90"/>
      <c r="G3" s="90"/>
      <c r="H3" s="90"/>
      <c r="I3" s="90"/>
      <c r="J3" s="91"/>
      <c r="K3" s="92" t="s">
        <v>234</v>
      </c>
    </row>
    <row r="4" spans="2:10" ht="12.75">
      <c r="B4" s="93"/>
      <c r="C4" s="60"/>
      <c r="D4" s="80" t="s">
        <v>1279</v>
      </c>
      <c r="E4" s="94" t="s">
        <v>1280</v>
      </c>
      <c r="F4" s="94" t="s">
        <v>1281</v>
      </c>
      <c r="G4" s="94" t="s">
        <v>1282</v>
      </c>
      <c r="H4" s="94" t="s">
        <v>1283</v>
      </c>
      <c r="I4" s="94" t="s">
        <v>2198</v>
      </c>
      <c r="J4" s="95"/>
    </row>
    <row r="5" spans="2:14" ht="12.75">
      <c r="B5" s="93"/>
      <c r="C5" s="60">
        <v>1</v>
      </c>
      <c r="D5" s="80" t="s">
        <v>1284</v>
      </c>
      <c r="E5" s="60">
        <v>16</v>
      </c>
      <c r="F5" s="60">
        <v>18</v>
      </c>
      <c r="G5" s="60">
        <v>17</v>
      </c>
      <c r="H5" s="60">
        <v>20</v>
      </c>
      <c r="I5" s="60">
        <v>19</v>
      </c>
      <c r="J5" s="96"/>
      <c r="K5" s="88">
        <f>K4+1</f>
        <v>1</v>
      </c>
      <c r="L5" s="88" t="s">
        <v>1468</v>
      </c>
      <c r="M5" s="88">
        <v>-2</v>
      </c>
      <c r="N5" s="101"/>
    </row>
    <row r="6" spans="2:13" ht="12.75">
      <c r="B6" s="93"/>
      <c r="C6" s="60">
        <f aca="true" t="shared" si="0" ref="C6:C32">C5+1</f>
        <v>2</v>
      </c>
      <c r="D6" s="80" t="s">
        <v>1285</v>
      </c>
      <c r="E6" s="60">
        <v>14</v>
      </c>
      <c r="F6" s="60">
        <v>16</v>
      </c>
      <c r="G6" s="60">
        <v>15</v>
      </c>
      <c r="H6" s="60">
        <v>17</v>
      </c>
      <c r="I6" s="60">
        <v>17</v>
      </c>
      <c r="J6" s="96"/>
      <c r="K6" s="88">
        <f>K5+1</f>
        <v>2</v>
      </c>
      <c r="L6" s="88" t="s">
        <v>188</v>
      </c>
      <c r="M6" s="88">
        <v>-5</v>
      </c>
    </row>
    <row r="7" spans="2:13" ht="12.75">
      <c r="B7" s="93"/>
      <c r="C7" s="60">
        <f t="shared" si="0"/>
        <v>3</v>
      </c>
      <c r="D7" s="80" t="s">
        <v>1286</v>
      </c>
      <c r="E7" s="60">
        <v>13</v>
      </c>
      <c r="F7" s="60">
        <v>15</v>
      </c>
      <c r="G7" s="60">
        <v>14</v>
      </c>
      <c r="H7" s="60">
        <v>16</v>
      </c>
      <c r="I7" s="60">
        <v>16</v>
      </c>
      <c r="J7" s="96"/>
      <c r="K7" s="88">
        <f>K6+1</f>
        <v>3</v>
      </c>
      <c r="L7" s="88" t="s">
        <v>1490</v>
      </c>
      <c r="M7" s="88">
        <v>-3</v>
      </c>
    </row>
    <row r="8" spans="2:13" ht="12.75">
      <c r="B8" s="93"/>
      <c r="C8" s="60">
        <f t="shared" si="0"/>
        <v>4</v>
      </c>
      <c r="D8" s="80" t="s">
        <v>1287</v>
      </c>
      <c r="E8" s="60">
        <v>11</v>
      </c>
      <c r="F8" s="60">
        <v>13</v>
      </c>
      <c r="G8" s="60">
        <v>12</v>
      </c>
      <c r="H8" s="60">
        <v>13</v>
      </c>
      <c r="I8" s="60">
        <v>14</v>
      </c>
      <c r="J8" s="96"/>
      <c r="K8" s="88">
        <f>K7+1</f>
        <v>4</v>
      </c>
      <c r="L8" s="88" t="s">
        <v>233</v>
      </c>
      <c r="M8" s="88">
        <v>-3</v>
      </c>
    </row>
    <row r="9" spans="2:10" ht="12.75">
      <c r="B9" s="93"/>
      <c r="C9" s="60">
        <f t="shared" si="0"/>
        <v>5</v>
      </c>
      <c r="D9" s="80" t="s">
        <v>1288</v>
      </c>
      <c r="E9" s="60">
        <v>10</v>
      </c>
      <c r="F9" s="60">
        <v>12</v>
      </c>
      <c r="G9" s="60">
        <v>11</v>
      </c>
      <c r="H9" s="60">
        <v>12</v>
      </c>
      <c r="I9" s="60">
        <v>13</v>
      </c>
      <c r="J9" s="96"/>
    </row>
    <row r="10" spans="2:10" ht="12.75">
      <c r="B10" s="93"/>
      <c r="C10" s="60">
        <f t="shared" si="0"/>
        <v>6</v>
      </c>
      <c r="D10" s="80" t="s">
        <v>1289</v>
      </c>
      <c r="E10" s="60">
        <v>8</v>
      </c>
      <c r="F10" s="60">
        <v>10</v>
      </c>
      <c r="G10" s="60">
        <v>9</v>
      </c>
      <c r="H10" s="60">
        <v>9</v>
      </c>
      <c r="I10" s="60">
        <v>11</v>
      </c>
      <c r="J10" s="96"/>
    </row>
    <row r="11" spans="2:10" ht="12.75">
      <c r="B11" s="93"/>
      <c r="C11" s="60">
        <f t="shared" si="0"/>
        <v>7</v>
      </c>
      <c r="D11" s="80" t="s">
        <v>1290</v>
      </c>
      <c r="E11" s="60">
        <v>7</v>
      </c>
      <c r="F11" s="60">
        <v>9</v>
      </c>
      <c r="G11" s="60">
        <v>8</v>
      </c>
      <c r="H11" s="60">
        <v>8</v>
      </c>
      <c r="I11" s="60">
        <v>10</v>
      </c>
      <c r="J11" s="96"/>
    </row>
    <row r="12" spans="2:10" ht="12.75">
      <c r="B12" s="93"/>
      <c r="C12" s="60">
        <f t="shared" si="0"/>
        <v>8</v>
      </c>
      <c r="D12" s="80" t="s">
        <v>1291</v>
      </c>
      <c r="E12" s="60">
        <v>5</v>
      </c>
      <c r="F12" s="60">
        <v>7</v>
      </c>
      <c r="G12" s="60">
        <v>6</v>
      </c>
      <c r="H12" s="60">
        <v>5</v>
      </c>
      <c r="I12" s="60">
        <v>8</v>
      </c>
      <c r="J12" s="96"/>
    </row>
    <row r="13" spans="2:10" ht="12.75">
      <c r="B13" s="93"/>
      <c r="C13" s="60">
        <f t="shared" si="0"/>
        <v>9</v>
      </c>
      <c r="D13" s="80" t="s">
        <v>1292</v>
      </c>
      <c r="E13" s="60">
        <v>4</v>
      </c>
      <c r="F13" s="60">
        <v>6</v>
      </c>
      <c r="G13" s="60">
        <v>5</v>
      </c>
      <c r="H13" s="60">
        <v>4</v>
      </c>
      <c r="I13" s="60">
        <v>7</v>
      </c>
      <c r="J13" s="96"/>
    </row>
    <row r="14" spans="2:10" ht="12.75">
      <c r="B14" s="93"/>
      <c r="C14" s="60">
        <f t="shared" si="0"/>
        <v>10</v>
      </c>
      <c r="D14" s="80" t="s">
        <v>1293</v>
      </c>
      <c r="E14" s="60">
        <v>3</v>
      </c>
      <c r="F14" s="60">
        <v>5</v>
      </c>
      <c r="G14" s="60">
        <v>4</v>
      </c>
      <c r="H14" s="60">
        <v>4</v>
      </c>
      <c r="I14" s="60">
        <v>6</v>
      </c>
      <c r="J14" s="96"/>
    </row>
    <row r="15" spans="2:10" ht="12.75">
      <c r="B15" s="93"/>
      <c r="C15" s="60">
        <f t="shared" si="0"/>
        <v>11</v>
      </c>
      <c r="D15" s="80" t="s">
        <v>1294</v>
      </c>
      <c r="E15" s="60">
        <v>14</v>
      </c>
      <c r="F15" s="60">
        <v>11</v>
      </c>
      <c r="G15" s="60">
        <v>13</v>
      </c>
      <c r="H15" s="60">
        <v>15</v>
      </c>
      <c r="I15" s="60">
        <v>12</v>
      </c>
      <c r="J15" s="96"/>
    </row>
    <row r="16" spans="2:10" ht="12.75">
      <c r="B16" s="93"/>
      <c r="C16" s="60">
        <f t="shared" si="0"/>
        <v>12</v>
      </c>
      <c r="D16" s="80" t="s">
        <v>1295</v>
      </c>
      <c r="E16" s="60">
        <v>13</v>
      </c>
      <c r="F16" s="60">
        <v>9</v>
      </c>
      <c r="G16" s="60">
        <v>11</v>
      </c>
      <c r="H16" s="60">
        <v>13</v>
      </c>
      <c r="I16" s="60">
        <v>10</v>
      </c>
      <c r="J16" s="96"/>
    </row>
    <row r="17" spans="2:10" ht="12.75">
      <c r="B17" s="93"/>
      <c r="C17" s="60">
        <f t="shared" si="0"/>
        <v>13</v>
      </c>
      <c r="D17" s="80" t="s">
        <v>1296</v>
      </c>
      <c r="E17" s="60">
        <v>11</v>
      </c>
      <c r="F17" s="60">
        <v>7</v>
      </c>
      <c r="G17" s="60">
        <v>9</v>
      </c>
      <c r="H17" s="60">
        <v>11</v>
      </c>
      <c r="I17" s="60">
        <v>8</v>
      </c>
      <c r="J17" s="96"/>
    </row>
    <row r="18" spans="2:10" ht="12.75">
      <c r="B18" s="93"/>
      <c r="C18" s="60">
        <f t="shared" si="0"/>
        <v>14</v>
      </c>
      <c r="D18" s="80" t="s">
        <v>1297</v>
      </c>
      <c r="E18" s="60">
        <v>10</v>
      </c>
      <c r="F18" s="60">
        <v>5</v>
      </c>
      <c r="G18" s="60">
        <v>7</v>
      </c>
      <c r="H18" s="60">
        <v>9</v>
      </c>
      <c r="I18" s="60">
        <v>6</v>
      </c>
      <c r="J18" s="96"/>
    </row>
    <row r="19" spans="2:10" ht="12.75">
      <c r="B19" s="93"/>
      <c r="C19" s="60">
        <f t="shared" si="0"/>
        <v>15</v>
      </c>
      <c r="D19" s="80" t="s">
        <v>1298</v>
      </c>
      <c r="E19" s="60">
        <v>8</v>
      </c>
      <c r="F19" s="60">
        <v>3</v>
      </c>
      <c r="G19" s="60">
        <v>5</v>
      </c>
      <c r="H19" s="60">
        <v>7</v>
      </c>
      <c r="I19" s="60">
        <v>4</v>
      </c>
      <c r="J19" s="96"/>
    </row>
    <row r="20" spans="2:10" ht="12.75">
      <c r="B20" s="93"/>
      <c r="C20" s="60">
        <f t="shared" si="0"/>
        <v>16</v>
      </c>
      <c r="D20" s="80" t="s">
        <v>1299</v>
      </c>
      <c r="E20" s="60">
        <v>10</v>
      </c>
      <c r="F20" s="60">
        <v>14</v>
      </c>
      <c r="G20" s="60">
        <v>13</v>
      </c>
      <c r="H20" s="60">
        <v>16</v>
      </c>
      <c r="I20" s="60">
        <v>15</v>
      </c>
      <c r="J20" s="96"/>
    </row>
    <row r="21" spans="2:15" ht="12.75">
      <c r="B21" s="93"/>
      <c r="C21" s="60">
        <f t="shared" si="0"/>
        <v>17</v>
      </c>
      <c r="D21" s="80" t="s">
        <v>1300</v>
      </c>
      <c r="E21" s="60">
        <v>9</v>
      </c>
      <c r="F21" s="60">
        <v>13</v>
      </c>
      <c r="G21" s="60">
        <v>12</v>
      </c>
      <c r="H21" s="60">
        <v>15</v>
      </c>
      <c r="I21" s="60">
        <v>14</v>
      </c>
      <c r="J21" s="96"/>
      <c r="N21" s="92" t="s">
        <v>177</v>
      </c>
      <c r="O21" s="92" t="s">
        <v>184</v>
      </c>
    </row>
    <row r="22" spans="2:15" ht="12.75">
      <c r="B22" s="93"/>
      <c r="C22" s="60">
        <f t="shared" si="0"/>
        <v>18</v>
      </c>
      <c r="D22" s="80" t="s">
        <v>1301</v>
      </c>
      <c r="E22" s="60">
        <v>7</v>
      </c>
      <c r="F22" s="60">
        <v>11</v>
      </c>
      <c r="G22" s="60">
        <v>10</v>
      </c>
      <c r="H22" s="60">
        <v>13</v>
      </c>
      <c r="I22" s="60">
        <v>12</v>
      </c>
      <c r="J22" s="96"/>
      <c r="N22" s="88" t="s">
        <v>178</v>
      </c>
      <c r="O22" s="88" t="s">
        <v>185</v>
      </c>
    </row>
    <row r="23" spans="2:15" ht="12.75">
      <c r="B23" s="93"/>
      <c r="C23" s="60">
        <f t="shared" si="0"/>
        <v>19</v>
      </c>
      <c r="D23" s="80" t="s">
        <v>1302</v>
      </c>
      <c r="E23" s="60">
        <v>6</v>
      </c>
      <c r="F23" s="60">
        <v>10</v>
      </c>
      <c r="G23" s="60">
        <v>9</v>
      </c>
      <c r="H23" s="60">
        <v>12</v>
      </c>
      <c r="I23" s="60">
        <v>11</v>
      </c>
      <c r="J23" s="96"/>
      <c r="N23" s="88" t="s">
        <v>179</v>
      </c>
      <c r="O23" s="88" t="s">
        <v>186</v>
      </c>
    </row>
    <row r="24" spans="2:15" ht="12.75">
      <c r="B24" s="93"/>
      <c r="C24" s="60">
        <f t="shared" si="0"/>
        <v>20</v>
      </c>
      <c r="D24" s="80" t="s">
        <v>1303</v>
      </c>
      <c r="E24" s="60">
        <v>5</v>
      </c>
      <c r="F24" s="60">
        <v>9</v>
      </c>
      <c r="G24" s="60">
        <v>8</v>
      </c>
      <c r="H24" s="60">
        <v>11</v>
      </c>
      <c r="I24" s="60">
        <v>10</v>
      </c>
      <c r="J24" s="96"/>
      <c r="N24" s="88" t="s">
        <v>180</v>
      </c>
      <c r="O24" s="88" t="s">
        <v>187</v>
      </c>
    </row>
    <row r="25" spans="2:15" ht="12.75">
      <c r="B25" s="93"/>
      <c r="C25" s="60">
        <f t="shared" si="0"/>
        <v>21</v>
      </c>
      <c r="D25" s="80" t="s">
        <v>1304</v>
      </c>
      <c r="E25" s="60">
        <v>4</v>
      </c>
      <c r="F25" s="60">
        <v>8</v>
      </c>
      <c r="G25" s="60">
        <v>7</v>
      </c>
      <c r="H25" s="60">
        <v>10</v>
      </c>
      <c r="I25" s="60">
        <v>9</v>
      </c>
      <c r="J25" s="96"/>
      <c r="N25" s="88" t="s">
        <v>181</v>
      </c>
      <c r="O25" s="88" t="s">
        <v>188</v>
      </c>
    </row>
    <row r="26" spans="2:15" ht="12.75">
      <c r="B26" s="93"/>
      <c r="C26" s="60">
        <f t="shared" si="0"/>
        <v>22</v>
      </c>
      <c r="D26" s="80" t="s">
        <v>1305</v>
      </c>
      <c r="E26" s="60">
        <v>2</v>
      </c>
      <c r="F26" s="60">
        <v>6</v>
      </c>
      <c r="G26" s="60">
        <v>5</v>
      </c>
      <c r="H26" s="60">
        <v>8</v>
      </c>
      <c r="I26" s="60">
        <v>7</v>
      </c>
      <c r="J26" s="96"/>
      <c r="N26" s="88" t="s">
        <v>182</v>
      </c>
      <c r="O26" s="88" t="s">
        <v>189</v>
      </c>
    </row>
    <row r="27" spans="2:15" ht="12.75">
      <c r="B27" s="93"/>
      <c r="C27" s="60">
        <f t="shared" si="0"/>
        <v>23</v>
      </c>
      <c r="D27" s="80" t="s">
        <v>1306</v>
      </c>
      <c r="E27" s="60">
        <v>13</v>
      </c>
      <c r="F27" s="60">
        <v>14</v>
      </c>
      <c r="G27" s="60">
        <v>12</v>
      </c>
      <c r="H27" s="60">
        <v>16</v>
      </c>
      <c r="I27" s="60">
        <v>15</v>
      </c>
      <c r="J27" s="96"/>
      <c r="N27" s="88" t="s">
        <v>183</v>
      </c>
      <c r="O27" s="88" t="s">
        <v>190</v>
      </c>
    </row>
    <row r="28" spans="2:15" ht="12.75">
      <c r="B28" s="93"/>
      <c r="C28" s="60">
        <f t="shared" si="0"/>
        <v>24</v>
      </c>
      <c r="D28" s="80" t="s">
        <v>1307</v>
      </c>
      <c r="E28" s="60">
        <v>12</v>
      </c>
      <c r="F28" s="60">
        <v>12</v>
      </c>
      <c r="G28" s="60">
        <v>11</v>
      </c>
      <c r="H28" s="60">
        <v>15</v>
      </c>
      <c r="I28" s="60">
        <v>13</v>
      </c>
      <c r="J28" s="96"/>
      <c r="N28" s="88" t="s">
        <v>1314</v>
      </c>
      <c r="O28" s="88" t="s">
        <v>191</v>
      </c>
    </row>
    <row r="29" spans="2:15" ht="12.75">
      <c r="B29" s="93"/>
      <c r="C29" s="60">
        <f t="shared" si="0"/>
        <v>25</v>
      </c>
      <c r="D29" s="80" t="s">
        <v>1308</v>
      </c>
      <c r="E29" s="60">
        <v>11</v>
      </c>
      <c r="F29" s="60">
        <v>10</v>
      </c>
      <c r="G29" s="60">
        <v>10</v>
      </c>
      <c r="H29" s="60">
        <v>14</v>
      </c>
      <c r="I29" s="60">
        <v>11</v>
      </c>
      <c r="J29" s="96"/>
      <c r="O29" s="88" t="s">
        <v>192</v>
      </c>
    </row>
    <row r="30" spans="2:15" ht="12.75">
      <c r="B30" s="93"/>
      <c r="C30" s="60">
        <f t="shared" si="0"/>
        <v>26</v>
      </c>
      <c r="D30" s="80" t="s">
        <v>1309</v>
      </c>
      <c r="E30" s="60">
        <v>10</v>
      </c>
      <c r="F30" s="60">
        <v>8</v>
      </c>
      <c r="G30" s="60">
        <v>9</v>
      </c>
      <c r="H30" s="60">
        <v>13</v>
      </c>
      <c r="I30" s="60">
        <v>9</v>
      </c>
      <c r="J30" s="96"/>
      <c r="O30" s="88" t="s">
        <v>193</v>
      </c>
    </row>
    <row r="31" spans="2:10" ht="12.75">
      <c r="B31" s="93"/>
      <c r="C31" s="60">
        <f t="shared" si="0"/>
        <v>27</v>
      </c>
      <c r="D31" s="80" t="s">
        <v>1310</v>
      </c>
      <c r="E31" s="60">
        <v>9</v>
      </c>
      <c r="F31" s="60">
        <v>6</v>
      </c>
      <c r="G31" s="60">
        <v>8</v>
      </c>
      <c r="H31" s="60">
        <v>12</v>
      </c>
      <c r="I31" s="60">
        <v>7</v>
      </c>
      <c r="J31" s="96"/>
    </row>
    <row r="32" spans="2:10" ht="12.75">
      <c r="B32" s="93"/>
      <c r="C32" s="60">
        <f t="shared" si="0"/>
        <v>28</v>
      </c>
      <c r="D32" s="80" t="s">
        <v>1311</v>
      </c>
      <c r="E32" s="60">
        <v>8</v>
      </c>
      <c r="F32" s="60">
        <v>4</v>
      </c>
      <c r="G32" s="60">
        <v>7</v>
      </c>
      <c r="H32" s="60">
        <v>11</v>
      </c>
      <c r="I32" s="60">
        <v>5</v>
      </c>
      <c r="J32" s="96"/>
    </row>
    <row r="33" spans="2:10" ht="6" customHeight="1">
      <c r="B33" s="97"/>
      <c r="C33" s="98"/>
      <c r="D33" s="99"/>
      <c r="E33" s="98"/>
      <c r="F33" s="98"/>
      <c r="G33" s="98"/>
      <c r="H33" s="98"/>
      <c r="I33" s="98"/>
      <c r="J33" s="100"/>
    </row>
    <row r="34" ht="5.25" customHeight="1"/>
    <row r="35" spans="3:10" ht="12.75">
      <c r="C35" s="92" t="s">
        <v>724</v>
      </c>
      <c r="D35" s="92"/>
      <c r="J35" s="92" t="s">
        <v>835</v>
      </c>
    </row>
    <row r="36" spans="3:15" ht="38.25">
      <c r="C36" s="88"/>
      <c r="D36" s="102" t="s">
        <v>1279</v>
      </c>
      <c r="E36" s="103" t="s">
        <v>724</v>
      </c>
      <c r="F36" s="103" t="s">
        <v>806</v>
      </c>
      <c r="G36" s="104" t="s">
        <v>832</v>
      </c>
      <c r="H36" s="101" t="s">
        <v>834</v>
      </c>
      <c r="I36" s="104" t="s">
        <v>833</v>
      </c>
      <c r="J36" s="88" t="s">
        <v>836</v>
      </c>
      <c r="K36" s="105" t="s">
        <v>837</v>
      </c>
      <c r="L36" s="105" t="s">
        <v>838</v>
      </c>
      <c r="M36" s="88" t="s">
        <v>839</v>
      </c>
      <c r="N36" s="88" t="s">
        <v>443</v>
      </c>
      <c r="O36" s="105" t="s">
        <v>840</v>
      </c>
    </row>
    <row r="37" spans="3:15" ht="12.75">
      <c r="C37" s="101">
        <v>1</v>
      </c>
      <c r="D37" s="109" t="s">
        <v>924</v>
      </c>
      <c r="E37" s="110" t="s">
        <v>924</v>
      </c>
      <c r="F37" s="110" t="s">
        <v>924</v>
      </c>
      <c r="G37" s="111" t="s">
        <v>924</v>
      </c>
      <c r="H37" s="112" t="s">
        <v>924</v>
      </c>
      <c r="I37" s="112" t="s">
        <v>924</v>
      </c>
      <c r="J37" s="112" t="s">
        <v>924</v>
      </c>
      <c r="K37" s="112" t="s">
        <v>924</v>
      </c>
      <c r="L37" s="112" t="s">
        <v>924</v>
      </c>
      <c r="M37" s="112" t="s">
        <v>924</v>
      </c>
      <c r="N37" s="112" t="s">
        <v>924</v>
      </c>
      <c r="O37" s="112" t="s">
        <v>924</v>
      </c>
    </row>
    <row r="38" spans="3:15" ht="12.75">
      <c r="C38" s="101">
        <f>C37+1</f>
        <v>2</v>
      </c>
      <c r="D38" s="88" t="s">
        <v>725</v>
      </c>
      <c r="E38" s="101">
        <v>20</v>
      </c>
      <c r="F38" s="101">
        <v>0</v>
      </c>
      <c r="G38" s="88">
        <v>0</v>
      </c>
      <c r="H38" s="88">
        <v>-2</v>
      </c>
      <c r="I38" s="88">
        <v>0</v>
      </c>
      <c r="J38" s="106" t="s">
        <v>1848</v>
      </c>
      <c r="K38" s="106" t="s">
        <v>1848</v>
      </c>
      <c r="L38" s="106" t="s">
        <v>1848</v>
      </c>
      <c r="M38" s="106" t="s">
        <v>1848</v>
      </c>
      <c r="N38" s="106" t="s">
        <v>1848</v>
      </c>
      <c r="O38" s="106" t="s">
        <v>1848</v>
      </c>
    </row>
    <row r="39" spans="3:15" ht="12.75">
      <c r="C39" s="101">
        <f>C38+1</f>
        <v>3</v>
      </c>
      <c r="D39" s="88" t="s">
        <v>726</v>
      </c>
      <c r="E39" s="101">
        <v>20</v>
      </c>
      <c r="F39" s="101">
        <v>1</v>
      </c>
      <c r="G39" s="88">
        <v>4</v>
      </c>
      <c r="H39" s="88">
        <v>-2</v>
      </c>
      <c r="I39" s="88">
        <v>3</v>
      </c>
      <c r="J39" s="106" t="s">
        <v>841</v>
      </c>
      <c r="K39" s="106" t="s">
        <v>844</v>
      </c>
      <c r="L39" s="106" t="s">
        <v>845</v>
      </c>
      <c r="M39" s="106" t="s">
        <v>846</v>
      </c>
      <c r="N39" s="106" t="s">
        <v>847</v>
      </c>
      <c r="O39" s="106" t="s">
        <v>841</v>
      </c>
    </row>
    <row r="40" spans="3:15" ht="12.75">
      <c r="C40" s="101">
        <f aca="true" t="shared" si="1" ref="C40:C103">C39+1</f>
        <v>4</v>
      </c>
      <c r="D40" s="88" t="s">
        <v>727</v>
      </c>
      <c r="E40" s="101">
        <v>19</v>
      </c>
      <c r="F40" s="101">
        <v>2</v>
      </c>
      <c r="G40" s="88">
        <v>4</v>
      </c>
      <c r="H40" s="88">
        <v>-2</v>
      </c>
      <c r="I40" s="88">
        <v>3</v>
      </c>
      <c r="J40" s="106" t="s">
        <v>852</v>
      </c>
      <c r="K40" s="106" t="s">
        <v>844</v>
      </c>
      <c r="L40" s="106" t="s">
        <v>845</v>
      </c>
      <c r="M40" s="106" t="s">
        <v>841</v>
      </c>
      <c r="N40" s="106" t="s">
        <v>878</v>
      </c>
      <c r="O40" s="106" t="s">
        <v>852</v>
      </c>
    </row>
    <row r="41" spans="3:15" ht="12.75">
      <c r="C41" s="101">
        <f t="shared" si="1"/>
        <v>5</v>
      </c>
      <c r="D41" s="88" t="s">
        <v>728</v>
      </c>
      <c r="E41" s="101">
        <v>18</v>
      </c>
      <c r="F41" s="101">
        <v>3</v>
      </c>
      <c r="G41" s="88">
        <v>5</v>
      </c>
      <c r="H41" s="88">
        <v>-2</v>
      </c>
      <c r="I41" s="88">
        <v>4</v>
      </c>
      <c r="J41" s="106" t="s">
        <v>856</v>
      </c>
      <c r="K41" s="106" t="s">
        <v>844</v>
      </c>
      <c r="L41" s="106" t="s">
        <v>845</v>
      </c>
      <c r="M41" s="106" t="s">
        <v>852</v>
      </c>
      <c r="N41" s="106" t="s">
        <v>880</v>
      </c>
      <c r="O41" s="106" t="s">
        <v>856</v>
      </c>
    </row>
    <row r="42" spans="3:15" ht="12.75">
      <c r="C42" s="101">
        <f t="shared" si="1"/>
        <v>6</v>
      </c>
      <c r="D42" s="88" t="s">
        <v>729</v>
      </c>
      <c r="E42" s="101">
        <v>17</v>
      </c>
      <c r="F42" s="101">
        <v>4</v>
      </c>
      <c r="G42" s="88">
        <v>5</v>
      </c>
      <c r="H42" s="88">
        <v>-2</v>
      </c>
      <c r="I42" s="88">
        <v>4</v>
      </c>
      <c r="J42" s="106" t="s">
        <v>860</v>
      </c>
      <c r="K42" s="106" t="s">
        <v>844</v>
      </c>
      <c r="L42" s="106" t="s">
        <v>845</v>
      </c>
      <c r="M42" s="106" t="s">
        <v>856</v>
      </c>
      <c r="N42" s="106" t="s">
        <v>882</v>
      </c>
      <c r="O42" s="106" t="s">
        <v>860</v>
      </c>
    </row>
    <row r="43" spans="3:15" ht="12.75">
      <c r="C43" s="101">
        <f t="shared" si="1"/>
        <v>7</v>
      </c>
      <c r="D43" s="88" t="s">
        <v>730</v>
      </c>
      <c r="E43" s="101">
        <v>16</v>
      </c>
      <c r="F43" s="101">
        <v>5</v>
      </c>
      <c r="G43" s="88">
        <v>5</v>
      </c>
      <c r="H43" s="88">
        <v>-2</v>
      </c>
      <c r="I43" s="88">
        <v>4</v>
      </c>
      <c r="J43" s="106" t="s">
        <v>864</v>
      </c>
      <c r="K43" s="106" t="s">
        <v>844</v>
      </c>
      <c r="L43" s="106" t="s">
        <v>845</v>
      </c>
      <c r="M43" s="106" t="s">
        <v>860</v>
      </c>
      <c r="N43" s="106" t="s">
        <v>884</v>
      </c>
      <c r="O43" s="106" t="s">
        <v>864</v>
      </c>
    </row>
    <row r="44" spans="3:15" ht="12.75">
      <c r="C44" s="101">
        <f t="shared" si="1"/>
        <v>8</v>
      </c>
      <c r="D44" s="88" t="s">
        <v>731</v>
      </c>
      <c r="E44" s="101">
        <v>15</v>
      </c>
      <c r="F44" s="101">
        <v>6</v>
      </c>
      <c r="G44" s="88">
        <v>6</v>
      </c>
      <c r="H44" s="88">
        <v>-2</v>
      </c>
      <c r="I44" s="88">
        <v>5</v>
      </c>
      <c r="J44" s="106" t="s">
        <v>868</v>
      </c>
      <c r="K44" s="106" t="s">
        <v>844</v>
      </c>
      <c r="L44" s="106" t="s">
        <v>845</v>
      </c>
      <c r="M44" s="106" t="s">
        <v>864</v>
      </c>
      <c r="N44" s="106" t="s">
        <v>886</v>
      </c>
      <c r="O44" s="106" t="s">
        <v>868</v>
      </c>
    </row>
    <row r="45" spans="3:15" ht="12.75">
      <c r="C45" s="101">
        <f t="shared" si="1"/>
        <v>9</v>
      </c>
      <c r="D45" s="88" t="s">
        <v>732</v>
      </c>
      <c r="E45" s="101">
        <v>14</v>
      </c>
      <c r="F45" s="101">
        <v>7</v>
      </c>
      <c r="G45" s="88">
        <v>6</v>
      </c>
      <c r="H45" s="88">
        <v>-2</v>
      </c>
      <c r="I45" s="88">
        <v>5</v>
      </c>
      <c r="J45" s="106" t="s">
        <v>842</v>
      </c>
      <c r="K45" s="106" t="s">
        <v>841</v>
      </c>
      <c r="L45" s="106" t="s">
        <v>844</v>
      </c>
      <c r="M45" s="106" t="s">
        <v>847</v>
      </c>
      <c r="N45" s="106" t="s">
        <v>848</v>
      </c>
      <c r="O45" s="106" t="s">
        <v>842</v>
      </c>
    </row>
    <row r="46" spans="3:15" ht="12.75">
      <c r="C46" s="101">
        <f t="shared" si="1"/>
        <v>10</v>
      </c>
      <c r="D46" s="88" t="s">
        <v>733</v>
      </c>
      <c r="E46" s="101">
        <v>13</v>
      </c>
      <c r="F46" s="101">
        <v>8</v>
      </c>
      <c r="G46" s="88">
        <v>6</v>
      </c>
      <c r="H46" s="88">
        <v>-2</v>
      </c>
      <c r="I46" s="88">
        <v>5</v>
      </c>
      <c r="J46" s="106" t="s">
        <v>851</v>
      </c>
      <c r="K46" s="106" t="s">
        <v>852</v>
      </c>
      <c r="L46" s="106" t="s">
        <v>845</v>
      </c>
      <c r="M46" s="106" t="s">
        <v>878</v>
      </c>
      <c r="N46" s="106" t="s">
        <v>843</v>
      </c>
      <c r="O46" s="106" t="s">
        <v>851</v>
      </c>
    </row>
    <row r="47" spans="3:15" ht="12.75">
      <c r="C47" s="101">
        <f t="shared" si="1"/>
        <v>11</v>
      </c>
      <c r="D47" s="88" t="s">
        <v>734</v>
      </c>
      <c r="E47" s="101">
        <v>12</v>
      </c>
      <c r="F47" s="101">
        <v>9</v>
      </c>
      <c r="G47" s="88">
        <v>7</v>
      </c>
      <c r="H47" s="88">
        <v>-2</v>
      </c>
      <c r="I47" s="88">
        <v>6</v>
      </c>
      <c r="J47" s="106" t="s">
        <v>855</v>
      </c>
      <c r="K47" s="106" t="s">
        <v>856</v>
      </c>
      <c r="L47" s="106" t="s">
        <v>879</v>
      </c>
      <c r="M47" s="106" t="s">
        <v>880</v>
      </c>
      <c r="N47" s="106" t="s">
        <v>850</v>
      </c>
      <c r="O47" s="106" t="s">
        <v>855</v>
      </c>
    </row>
    <row r="48" spans="3:15" ht="12.75">
      <c r="C48" s="101">
        <f t="shared" si="1"/>
        <v>12</v>
      </c>
      <c r="D48" s="88" t="s">
        <v>735</v>
      </c>
      <c r="E48" s="101">
        <v>11</v>
      </c>
      <c r="F48" s="101">
        <v>10</v>
      </c>
      <c r="G48" s="88">
        <v>7</v>
      </c>
      <c r="H48" s="88">
        <v>-2</v>
      </c>
      <c r="I48" s="88">
        <v>6</v>
      </c>
      <c r="J48" s="106" t="s">
        <v>859</v>
      </c>
      <c r="K48" s="106" t="s">
        <v>860</v>
      </c>
      <c r="L48" s="106" t="s">
        <v>881</v>
      </c>
      <c r="M48" s="106" t="s">
        <v>882</v>
      </c>
      <c r="N48" s="106" t="s">
        <v>854</v>
      </c>
      <c r="O48" s="106" t="s">
        <v>859</v>
      </c>
    </row>
    <row r="49" spans="3:15" ht="12.75">
      <c r="C49" s="101">
        <f t="shared" si="1"/>
        <v>13</v>
      </c>
      <c r="D49" s="88" t="s">
        <v>736</v>
      </c>
      <c r="E49" s="101">
        <v>10</v>
      </c>
      <c r="F49" s="101">
        <v>11</v>
      </c>
      <c r="G49" s="88">
        <v>7</v>
      </c>
      <c r="H49" s="88">
        <v>-2</v>
      </c>
      <c r="I49" s="88">
        <v>6</v>
      </c>
      <c r="J49" s="106" t="s">
        <v>863</v>
      </c>
      <c r="K49" s="106" t="s">
        <v>864</v>
      </c>
      <c r="L49" s="106" t="s">
        <v>883</v>
      </c>
      <c r="M49" s="106" t="s">
        <v>884</v>
      </c>
      <c r="N49" s="106" t="s">
        <v>858</v>
      </c>
      <c r="O49" s="106" t="s">
        <v>863</v>
      </c>
    </row>
    <row r="50" spans="3:15" ht="12.75">
      <c r="C50" s="101">
        <f t="shared" si="1"/>
        <v>14</v>
      </c>
      <c r="D50" s="88" t="s">
        <v>737</v>
      </c>
      <c r="E50" s="101">
        <v>9</v>
      </c>
      <c r="F50" s="101">
        <v>12</v>
      </c>
      <c r="G50" s="88">
        <v>8</v>
      </c>
      <c r="H50" s="88">
        <v>-2</v>
      </c>
      <c r="I50" s="88">
        <v>7</v>
      </c>
      <c r="J50" s="106" t="s">
        <v>867</v>
      </c>
      <c r="K50" s="106" t="s">
        <v>868</v>
      </c>
      <c r="L50" s="106" t="s">
        <v>885</v>
      </c>
      <c r="M50" s="106" t="s">
        <v>886</v>
      </c>
      <c r="N50" s="106" t="s">
        <v>862</v>
      </c>
      <c r="O50" s="106" t="s">
        <v>867</v>
      </c>
    </row>
    <row r="51" spans="3:15" ht="12.75">
      <c r="C51" s="101">
        <f t="shared" si="1"/>
        <v>15</v>
      </c>
      <c r="D51" s="88" t="s">
        <v>738</v>
      </c>
      <c r="E51" s="101">
        <v>8</v>
      </c>
      <c r="F51" s="101">
        <v>13</v>
      </c>
      <c r="G51" s="88">
        <v>8</v>
      </c>
      <c r="H51" s="88">
        <v>-2</v>
      </c>
      <c r="I51" s="88">
        <v>7</v>
      </c>
      <c r="J51" s="106" t="s">
        <v>843</v>
      </c>
      <c r="K51" s="106" t="s">
        <v>842</v>
      </c>
      <c r="L51" s="106" t="s">
        <v>841</v>
      </c>
      <c r="M51" s="106" t="s">
        <v>848</v>
      </c>
      <c r="N51" s="106" t="s">
        <v>849</v>
      </c>
      <c r="O51" s="106" t="s">
        <v>843</v>
      </c>
    </row>
    <row r="52" spans="3:15" ht="12.75">
      <c r="C52" s="101">
        <f t="shared" si="1"/>
        <v>16</v>
      </c>
      <c r="D52" s="88" t="s">
        <v>739</v>
      </c>
      <c r="E52" s="101">
        <v>7</v>
      </c>
      <c r="F52" s="101">
        <v>14</v>
      </c>
      <c r="G52" s="88">
        <v>8</v>
      </c>
      <c r="H52" s="88">
        <v>-2</v>
      </c>
      <c r="I52" s="88">
        <v>7</v>
      </c>
      <c r="J52" s="106" t="s">
        <v>850</v>
      </c>
      <c r="K52" s="106" t="s">
        <v>851</v>
      </c>
      <c r="L52" s="106" t="s">
        <v>852</v>
      </c>
      <c r="M52" s="106" t="s">
        <v>843</v>
      </c>
      <c r="N52" s="106" t="s">
        <v>853</v>
      </c>
      <c r="O52" s="106" t="s">
        <v>850</v>
      </c>
    </row>
    <row r="53" spans="3:15" ht="12.75">
      <c r="C53" s="101">
        <f t="shared" si="1"/>
        <v>17</v>
      </c>
      <c r="D53" s="88" t="s">
        <v>740</v>
      </c>
      <c r="E53" s="101">
        <v>6</v>
      </c>
      <c r="F53" s="101">
        <v>15</v>
      </c>
      <c r="G53" s="88">
        <v>9</v>
      </c>
      <c r="H53" s="88">
        <v>-2</v>
      </c>
      <c r="I53" s="88">
        <v>8</v>
      </c>
      <c r="J53" s="106" t="s">
        <v>854</v>
      </c>
      <c r="K53" s="106" t="s">
        <v>855</v>
      </c>
      <c r="L53" s="106" t="s">
        <v>856</v>
      </c>
      <c r="M53" s="106" t="s">
        <v>850</v>
      </c>
      <c r="N53" s="106" t="s">
        <v>857</v>
      </c>
      <c r="O53" s="106" t="s">
        <v>854</v>
      </c>
    </row>
    <row r="54" spans="3:15" ht="12.75">
      <c r="C54" s="101">
        <f t="shared" si="1"/>
        <v>18</v>
      </c>
      <c r="D54" s="88" t="s">
        <v>741</v>
      </c>
      <c r="E54" s="101">
        <v>5</v>
      </c>
      <c r="F54" s="101">
        <v>16</v>
      </c>
      <c r="G54" s="88">
        <v>9</v>
      </c>
      <c r="H54" s="88">
        <v>-2</v>
      </c>
      <c r="I54" s="88">
        <v>8</v>
      </c>
      <c r="J54" s="106" t="s">
        <v>858</v>
      </c>
      <c r="K54" s="106" t="s">
        <v>859</v>
      </c>
      <c r="L54" s="106" t="s">
        <v>860</v>
      </c>
      <c r="M54" s="106" t="s">
        <v>854</v>
      </c>
      <c r="N54" s="106" t="s">
        <v>861</v>
      </c>
      <c r="O54" s="106" t="s">
        <v>858</v>
      </c>
    </row>
    <row r="55" spans="3:15" ht="12.75">
      <c r="C55" s="101">
        <f t="shared" si="1"/>
        <v>19</v>
      </c>
      <c r="D55" s="88" t="s">
        <v>742</v>
      </c>
      <c r="E55" s="101">
        <v>4</v>
      </c>
      <c r="F55" s="101">
        <v>17</v>
      </c>
      <c r="G55" s="88">
        <v>9</v>
      </c>
      <c r="H55" s="88">
        <v>-2</v>
      </c>
      <c r="I55" s="88">
        <v>8</v>
      </c>
      <c r="J55" s="106" t="s">
        <v>862</v>
      </c>
      <c r="K55" s="106" t="s">
        <v>863</v>
      </c>
      <c r="L55" s="106" t="s">
        <v>864</v>
      </c>
      <c r="M55" s="106" t="s">
        <v>858</v>
      </c>
      <c r="N55" s="106" t="s">
        <v>865</v>
      </c>
      <c r="O55" s="106" t="s">
        <v>862</v>
      </c>
    </row>
    <row r="56" spans="3:15" ht="12.75">
      <c r="C56" s="101">
        <f t="shared" si="1"/>
        <v>20</v>
      </c>
      <c r="D56" s="88" t="s">
        <v>743</v>
      </c>
      <c r="E56" s="101">
        <v>3</v>
      </c>
      <c r="F56" s="101">
        <v>18</v>
      </c>
      <c r="G56" s="88">
        <v>10</v>
      </c>
      <c r="H56" s="88">
        <v>-2</v>
      </c>
      <c r="I56" s="88">
        <v>9</v>
      </c>
      <c r="J56" s="106" t="s">
        <v>866</v>
      </c>
      <c r="K56" s="106" t="s">
        <v>867</v>
      </c>
      <c r="L56" s="106" t="s">
        <v>868</v>
      </c>
      <c r="M56" s="106" t="s">
        <v>862</v>
      </c>
      <c r="N56" s="106" t="s">
        <v>869</v>
      </c>
      <c r="O56" s="106" t="s">
        <v>866</v>
      </c>
    </row>
    <row r="57" spans="3:15" ht="12.75">
      <c r="C57" s="101">
        <f t="shared" si="1"/>
        <v>21</v>
      </c>
      <c r="D57" s="88" t="s">
        <v>744</v>
      </c>
      <c r="E57" s="101">
        <v>2</v>
      </c>
      <c r="F57" s="101">
        <v>19</v>
      </c>
      <c r="G57" s="88">
        <v>10</v>
      </c>
      <c r="H57" s="88">
        <v>-2</v>
      </c>
      <c r="I57" s="88">
        <v>9</v>
      </c>
      <c r="J57" s="106" t="s">
        <v>870</v>
      </c>
      <c r="K57" s="106" t="s">
        <v>871</v>
      </c>
      <c r="L57" s="106" t="s">
        <v>872</v>
      </c>
      <c r="M57" s="106" t="s">
        <v>866</v>
      </c>
      <c r="N57" s="106" t="s">
        <v>873</v>
      </c>
      <c r="O57" s="106" t="s">
        <v>870</v>
      </c>
    </row>
    <row r="58" spans="3:15" ht="12.75">
      <c r="C58" s="101">
        <f t="shared" si="1"/>
        <v>22</v>
      </c>
      <c r="D58" s="88" t="s">
        <v>745</v>
      </c>
      <c r="E58" s="101">
        <v>1</v>
      </c>
      <c r="F58" s="101">
        <v>20</v>
      </c>
      <c r="G58" s="88">
        <v>10</v>
      </c>
      <c r="H58" s="88">
        <v>-2</v>
      </c>
      <c r="I58" s="88">
        <v>9</v>
      </c>
      <c r="J58" s="106" t="s">
        <v>874</v>
      </c>
      <c r="K58" s="106" t="s">
        <v>875</v>
      </c>
      <c r="L58" s="106" t="s">
        <v>876</v>
      </c>
      <c r="M58" s="106" t="s">
        <v>870</v>
      </c>
      <c r="N58" s="106" t="s">
        <v>877</v>
      </c>
      <c r="O58" s="106" t="s">
        <v>874</v>
      </c>
    </row>
    <row r="59" spans="3:15" ht="12.75">
      <c r="C59" s="101">
        <f t="shared" si="1"/>
        <v>23</v>
      </c>
      <c r="D59" s="88" t="s">
        <v>746</v>
      </c>
      <c r="E59" s="101">
        <v>20</v>
      </c>
      <c r="F59" s="101">
        <v>1</v>
      </c>
      <c r="G59" s="88">
        <v>1</v>
      </c>
      <c r="H59" s="88">
        <v>-5</v>
      </c>
      <c r="I59" s="88">
        <v>4</v>
      </c>
      <c r="J59" s="88" t="s">
        <v>1848</v>
      </c>
      <c r="K59" s="88" t="s">
        <v>1848</v>
      </c>
      <c r="L59" s="88" t="s">
        <v>1848</v>
      </c>
      <c r="M59" s="88" t="s">
        <v>1848</v>
      </c>
      <c r="N59" s="88" t="s">
        <v>1848</v>
      </c>
      <c r="O59" s="88" t="s">
        <v>1848</v>
      </c>
    </row>
    <row r="60" spans="3:15" ht="12.75">
      <c r="C60" s="101">
        <f t="shared" si="1"/>
        <v>24</v>
      </c>
      <c r="D60" s="88" t="s">
        <v>747</v>
      </c>
      <c r="E60" s="101">
        <v>20</v>
      </c>
      <c r="F60" s="101">
        <v>2</v>
      </c>
      <c r="G60" s="88">
        <v>1</v>
      </c>
      <c r="H60" s="88">
        <v>-5</v>
      </c>
      <c r="I60" s="88">
        <v>4</v>
      </c>
      <c r="J60" s="88" t="s">
        <v>1848</v>
      </c>
      <c r="K60" s="88" t="s">
        <v>1848</v>
      </c>
      <c r="L60" s="88" t="s">
        <v>1848</v>
      </c>
      <c r="M60" s="88" t="s">
        <v>1848</v>
      </c>
      <c r="N60" s="88" t="s">
        <v>1848</v>
      </c>
      <c r="O60" s="88" t="s">
        <v>1848</v>
      </c>
    </row>
    <row r="61" spans="3:15" ht="12.75">
      <c r="C61" s="101">
        <f t="shared" si="1"/>
        <v>25</v>
      </c>
      <c r="D61" s="88" t="s">
        <v>748</v>
      </c>
      <c r="E61" s="101">
        <v>20</v>
      </c>
      <c r="F61" s="101">
        <v>3</v>
      </c>
      <c r="G61" s="88">
        <v>1</v>
      </c>
      <c r="H61" s="88">
        <v>-5</v>
      </c>
      <c r="I61" s="88">
        <v>5</v>
      </c>
      <c r="J61" s="88" t="s">
        <v>1848</v>
      </c>
      <c r="K61" s="88" t="s">
        <v>1848</v>
      </c>
      <c r="L61" s="88" t="s">
        <v>1848</v>
      </c>
      <c r="M61" s="88" t="s">
        <v>1848</v>
      </c>
      <c r="N61" s="88" t="s">
        <v>1848</v>
      </c>
      <c r="O61" s="88" t="s">
        <v>1848</v>
      </c>
    </row>
    <row r="62" spans="3:15" ht="12.75">
      <c r="C62" s="101">
        <f t="shared" si="1"/>
        <v>26</v>
      </c>
      <c r="D62" s="88" t="s">
        <v>749</v>
      </c>
      <c r="E62" s="101">
        <v>19</v>
      </c>
      <c r="F62" s="101">
        <v>4</v>
      </c>
      <c r="G62" s="88">
        <v>1</v>
      </c>
      <c r="H62" s="88">
        <v>-5</v>
      </c>
      <c r="I62" s="88">
        <v>5</v>
      </c>
      <c r="J62" s="88" t="s">
        <v>1848</v>
      </c>
      <c r="K62" s="88" t="s">
        <v>1848</v>
      </c>
      <c r="L62" s="88" t="s">
        <v>1848</v>
      </c>
      <c r="M62" s="88" t="s">
        <v>1848</v>
      </c>
      <c r="N62" s="88" t="s">
        <v>1848</v>
      </c>
      <c r="O62" s="88" t="s">
        <v>1848</v>
      </c>
    </row>
    <row r="63" spans="3:15" ht="12.75">
      <c r="C63" s="101">
        <f t="shared" si="1"/>
        <v>27</v>
      </c>
      <c r="D63" s="88" t="s">
        <v>750</v>
      </c>
      <c r="E63" s="101">
        <v>19</v>
      </c>
      <c r="F63" s="101">
        <v>5</v>
      </c>
      <c r="G63" s="88">
        <v>1</v>
      </c>
      <c r="H63" s="88">
        <v>-5</v>
      </c>
      <c r="I63" s="88">
        <v>5</v>
      </c>
      <c r="J63" s="88" t="s">
        <v>1848</v>
      </c>
      <c r="K63" s="88" t="s">
        <v>1848</v>
      </c>
      <c r="L63" s="88" t="s">
        <v>1848</v>
      </c>
      <c r="M63" s="88" t="s">
        <v>1848</v>
      </c>
      <c r="N63" s="88" t="s">
        <v>1848</v>
      </c>
      <c r="O63" s="88" t="s">
        <v>1848</v>
      </c>
    </row>
    <row r="64" spans="3:15" ht="12.75">
      <c r="C64" s="101">
        <f t="shared" si="1"/>
        <v>28</v>
      </c>
      <c r="D64" s="88" t="s">
        <v>751</v>
      </c>
      <c r="E64" s="101">
        <v>19</v>
      </c>
      <c r="F64" s="101">
        <v>6</v>
      </c>
      <c r="G64" s="88">
        <v>2</v>
      </c>
      <c r="H64" s="88">
        <v>-5</v>
      </c>
      <c r="I64" s="88">
        <v>6</v>
      </c>
      <c r="J64" s="88" t="s">
        <v>1848</v>
      </c>
      <c r="K64" s="88" t="s">
        <v>1848</v>
      </c>
      <c r="L64" s="88" t="s">
        <v>1848</v>
      </c>
      <c r="M64" s="88" t="s">
        <v>1848</v>
      </c>
      <c r="N64" s="88" t="s">
        <v>1848</v>
      </c>
      <c r="O64" s="88" t="s">
        <v>1848</v>
      </c>
    </row>
    <row r="65" spans="3:15" ht="12.75">
      <c r="C65" s="101">
        <f t="shared" si="1"/>
        <v>29</v>
      </c>
      <c r="D65" s="88" t="s">
        <v>752</v>
      </c>
      <c r="E65" s="101">
        <v>18</v>
      </c>
      <c r="F65" s="101">
        <v>7</v>
      </c>
      <c r="G65" s="88">
        <v>2</v>
      </c>
      <c r="H65" s="88">
        <v>-5</v>
      </c>
      <c r="I65" s="88">
        <v>6</v>
      </c>
      <c r="J65" s="88" t="s">
        <v>1848</v>
      </c>
      <c r="K65" s="88" t="s">
        <v>1848</v>
      </c>
      <c r="L65" s="88" t="s">
        <v>1848</v>
      </c>
      <c r="M65" s="88" t="s">
        <v>1848</v>
      </c>
      <c r="N65" s="88" t="s">
        <v>1848</v>
      </c>
      <c r="O65" s="88" t="s">
        <v>1848</v>
      </c>
    </row>
    <row r="66" spans="3:15" ht="12.75">
      <c r="C66" s="101">
        <f t="shared" si="1"/>
        <v>30</v>
      </c>
      <c r="D66" s="88" t="s">
        <v>753</v>
      </c>
      <c r="E66" s="101">
        <v>18</v>
      </c>
      <c r="F66" s="101">
        <v>8</v>
      </c>
      <c r="G66" s="88">
        <v>2</v>
      </c>
      <c r="H66" s="88">
        <v>-5</v>
      </c>
      <c r="I66" s="88">
        <v>6</v>
      </c>
      <c r="J66" s="88" t="s">
        <v>1848</v>
      </c>
      <c r="K66" s="88" t="s">
        <v>1848</v>
      </c>
      <c r="L66" s="88" t="s">
        <v>1848</v>
      </c>
      <c r="M66" s="88" t="s">
        <v>1848</v>
      </c>
      <c r="N66" s="88" t="s">
        <v>1848</v>
      </c>
      <c r="O66" s="88" t="s">
        <v>1848</v>
      </c>
    </row>
    <row r="67" spans="3:15" ht="12.75">
      <c r="C67" s="101">
        <f t="shared" si="1"/>
        <v>31</v>
      </c>
      <c r="D67" s="88" t="s">
        <v>754</v>
      </c>
      <c r="E67" s="101">
        <v>18</v>
      </c>
      <c r="F67" s="101">
        <v>9</v>
      </c>
      <c r="G67" s="88">
        <v>2</v>
      </c>
      <c r="H67" s="88">
        <v>-5</v>
      </c>
      <c r="I67" s="88">
        <v>7</v>
      </c>
      <c r="J67" s="88" t="s">
        <v>1848</v>
      </c>
      <c r="K67" s="88" t="s">
        <v>1848</v>
      </c>
      <c r="L67" s="88" t="s">
        <v>1848</v>
      </c>
      <c r="M67" s="88" t="s">
        <v>1848</v>
      </c>
      <c r="N67" s="88" t="s">
        <v>1848</v>
      </c>
      <c r="O67" s="88" t="s">
        <v>1848</v>
      </c>
    </row>
    <row r="68" spans="3:15" ht="12.75">
      <c r="C68" s="101">
        <f t="shared" si="1"/>
        <v>32</v>
      </c>
      <c r="D68" s="88" t="s">
        <v>755</v>
      </c>
      <c r="E68" s="101">
        <v>17</v>
      </c>
      <c r="F68" s="101">
        <v>10</v>
      </c>
      <c r="G68" s="88">
        <v>2</v>
      </c>
      <c r="H68" s="88">
        <v>-5</v>
      </c>
      <c r="I68" s="88">
        <v>7</v>
      </c>
      <c r="J68" s="88" t="s">
        <v>1848</v>
      </c>
      <c r="K68" s="88" t="s">
        <v>1848</v>
      </c>
      <c r="L68" s="88" t="s">
        <v>1848</v>
      </c>
      <c r="M68" s="88" t="s">
        <v>1848</v>
      </c>
      <c r="N68" s="88" t="s">
        <v>1848</v>
      </c>
      <c r="O68" s="88" t="s">
        <v>1848</v>
      </c>
    </row>
    <row r="69" spans="3:15" ht="12.75">
      <c r="C69" s="101">
        <f t="shared" si="1"/>
        <v>33</v>
      </c>
      <c r="D69" s="88" t="s">
        <v>756</v>
      </c>
      <c r="E69" s="101">
        <v>17</v>
      </c>
      <c r="F69" s="101">
        <v>11</v>
      </c>
      <c r="G69" s="88">
        <v>2</v>
      </c>
      <c r="H69" s="88">
        <v>-5</v>
      </c>
      <c r="I69" s="88">
        <v>7</v>
      </c>
      <c r="J69" s="88" t="s">
        <v>1848</v>
      </c>
      <c r="K69" s="88" t="s">
        <v>1848</v>
      </c>
      <c r="L69" s="88" t="s">
        <v>1848</v>
      </c>
      <c r="M69" s="88" t="s">
        <v>1848</v>
      </c>
      <c r="N69" s="88" t="s">
        <v>1848</v>
      </c>
      <c r="O69" s="88" t="s">
        <v>1848</v>
      </c>
    </row>
    <row r="70" spans="3:15" ht="12.75">
      <c r="C70" s="101">
        <f t="shared" si="1"/>
        <v>34</v>
      </c>
      <c r="D70" s="88" t="s">
        <v>757</v>
      </c>
      <c r="E70" s="101">
        <v>17</v>
      </c>
      <c r="F70" s="101">
        <v>12</v>
      </c>
      <c r="G70" s="88">
        <v>3</v>
      </c>
      <c r="H70" s="88">
        <v>-5</v>
      </c>
      <c r="I70" s="88">
        <v>8</v>
      </c>
      <c r="J70" s="88" t="s">
        <v>1848</v>
      </c>
      <c r="K70" s="88" t="s">
        <v>1848</v>
      </c>
      <c r="L70" s="88" t="s">
        <v>1848</v>
      </c>
      <c r="M70" s="88" t="s">
        <v>1848</v>
      </c>
      <c r="N70" s="88" t="s">
        <v>1848</v>
      </c>
      <c r="O70" s="88" t="s">
        <v>1848</v>
      </c>
    </row>
    <row r="71" spans="3:15" ht="12.75">
      <c r="C71" s="101">
        <f t="shared" si="1"/>
        <v>35</v>
      </c>
      <c r="D71" s="88" t="s">
        <v>758</v>
      </c>
      <c r="E71" s="101">
        <v>16</v>
      </c>
      <c r="F71" s="101">
        <v>13</v>
      </c>
      <c r="G71" s="88">
        <v>3</v>
      </c>
      <c r="H71" s="88">
        <v>-5</v>
      </c>
      <c r="I71" s="88">
        <v>8</v>
      </c>
      <c r="J71" s="88" t="s">
        <v>1848</v>
      </c>
      <c r="K71" s="88" t="s">
        <v>1848</v>
      </c>
      <c r="L71" s="88" t="s">
        <v>1848</v>
      </c>
      <c r="M71" s="88" t="s">
        <v>1848</v>
      </c>
      <c r="N71" s="88" t="s">
        <v>1848</v>
      </c>
      <c r="O71" s="88" t="s">
        <v>1848</v>
      </c>
    </row>
    <row r="72" spans="3:15" ht="12.75">
      <c r="C72" s="101">
        <f t="shared" si="1"/>
        <v>36</v>
      </c>
      <c r="D72" s="88" t="s">
        <v>759</v>
      </c>
      <c r="E72" s="101">
        <v>16</v>
      </c>
      <c r="F72" s="101">
        <v>14</v>
      </c>
      <c r="G72" s="88">
        <v>3</v>
      </c>
      <c r="H72" s="88">
        <v>-5</v>
      </c>
      <c r="I72" s="88">
        <v>8</v>
      </c>
      <c r="J72" s="88" t="s">
        <v>1848</v>
      </c>
      <c r="K72" s="88" t="s">
        <v>1848</v>
      </c>
      <c r="L72" s="88" t="s">
        <v>1848</v>
      </c>
      <c r="M72" s="88" t="s">
        <v>1848</v>
      </c>
      <c r="N72" s="88" t="s">
        <v>1848</v>
      </c>
      <c r="O72" s="88" t="s">
        <v>1848</v>
      </c>
    </row>
    <row r="73" spans="3:15" ht="12.75">
      <c r="C73" s="101">
        <f t="shared" si="1"/>
        <v>37</v>
      </c>
      <c r="D73" s="88" t="s">
        <v>760</v>
      </c>
      <c r="E73" s="101">
        <v>16</v>
      </c>
      <c r="F73" s="101">
        <v>15</v>
      </c>
      <c r="G73" s="88">
        <v>3</v>
      </c>
      <c r="H73" s="88">
        <v>-5</v>
      </c>
      <c r="I73" s="88">
        <v>9</v>
      </c>
      <c r="J73" s="88" t="s">
        <v>1848</v>
      </c>
      <c r="K73" s="88" t="s">
        <v>1848</v>
      </c>
      <c r="L73" s="88" t="s">
        <v>1848</v>
      </c>
      <c r="M73" s="88" t="s">
        <v>1848</v>
      </c>
      <c r="N73" s="88" t="s">
        <v>1848</v>
      </c>
      <c r="O73" s="88" t="s">
        <v>1848</v>
      </c>
    </row>
    <row r="74" spans="3:15" ht="12.75">
      <c r="C74" s="101">
        <f t="shared" si="1"/>
        <v>38</v>
      </c>
      <c r="D74" s="88" t="s">
        <v>761</v>
      </c>
      <c r="E74" s="101">
        <v>15</v>
      </c>
      <c r="F74" s="101">
        <v>16</v>
      </c>
      <c r="G74" s="88">
        <v>3</v>
      </c>
      <c r="H74" s="88">
        <v>-5</v>
      </c>
      <c r="I74" s="88">
        <v>9</v>
      </c>
      <c r="J74" s="88" t="s">
        <v>1848</v>
      </c>
      <c r="K74" s="88" t="s">
        <v>1848</v>
      </c>
      <c r="L74" s="88" t="s">
        <v>1848</v>
      </c>
      <c r="M74" s="88" t="s">
        <v>1848</v>
      </c>
      <c r="N74" s="88" t="s">
        <v>1848</v>
      </c>
      <c r="O74" s="88" t="s">
        <v>1848</v>
      </c>
    </row>
    <row r="75" spans="3:15" ht="12.75">
      <c r="C75" s="101">
        <f t="shared" si="1"/>
        <v>39</v>
      </c>
      <c r="D75" s="88" t="s">
        <v>762</v>
      </c>
      <c r="E75" s="101">
        <v>15</v>
      </c>
      <c r="F75" s="101">
        <v>17</v>
      </c>
      <c r="G75" s="88">
        <v>3</v>
      </c>
      <c r="H75" s="88">
        <v>-5</v>
      </c>
      <c r="I75" s="88">
        <v>9</v>
      </c>
      <c r="J75" s="88" t="s">
        <v>1848</v>
      </c>
      <c r="K75" s="88" t="s">
        <v>1848</v>
      </c>
      <c r="L75" s="88" t="s">
        <v>1848</v>
      </c>
      <c r="M75" s="88" t="s">
        <v>1848</v>
      </c>
      <c r="N75" s="88" t="s">
        <v>1848</v>
      </c>
      <c r="O75" s="88" t="s">
        <v>1848</v>
      </c>
    </row>
    <row r="76" spans="3:15" ht="12.75">
      <c r="C76" s="101">
        <f t="shared" si="1"/>
        <v>40</v>
      </c>
      <c r="D76" s="88" t="s">
        <v>763</v>
      </c>
      <c r="E76" s="101">
        <v>15</v>
      </c>
      <c r="F76" s="101">
        <v>18</v>
      </c>
      <c r="G76" s="88">
        <v>4</v>
      </c>
      <c r="H76" s="88">
        <v>-5</v>
      </c>
      <c r="I76" s="88">
        <v>10</v>
      </c>
      <c r="J76" s="88" t="s">
        <v>1848</v>
      </c>
      <c r="K76" s="88" t="s">
        <v>1848</v>
      </c>
      <c r="L76" s="88" t="s">
        <v>1848</v>
      </c>
      <c r="M76" s="88" t="s">
        <v>1848</v>
      </c>
      <c r="N76" s="88" t="s">
        <v>1848</v>
      </c>
      <c r="O76" s="88" t="s">
        <v>1848</v>
      </c>
    </row>
    <row r="77" spans="3:15" ht="12.75">
      <c r="C77" s="101">
        <f t="shared" si="1"/>
        <v>41</v>
      </c>
      <c r="D77" s="88" t="s">
        <v>764</v>
      </c>
      <c r="E77" s="101">
        <v>14</v>
      </c>
      <c r="F77" s="101">
        <v>19</v>
      </c>
      <c r="G77" s="88">
        <v>4</v>
      </c>
      <c r="H77" s="88">
        <v>-5</v>
      </c>
      <c r="I77" s="88">
        <v>10</v>
      </c>
      <c r="J77" s="88" t="s">
        <v>1848</v>
      </c>
      <c r="K77" s="88" t="s">
        <v>1848</v>
      </c>
      <c r="L77" s="88" t="s">
        <v>1848</v>
      </c>
      <c r="M77" s="88" t="s">
        <v>1848</v>
      </c>
      <c r="N77" s="88" t="s">
        <v>1848</v>
      </c>
      <c r="O77" s="88" t="s">
        <v>1848</v>
      </c>
    </row>
    <row r="78" spans="3:15" ht="12.75">
      <c r="C78" s="101">
        <f t="shared" si="1"/>
        <v>42</v>
      </c>
      <c r="D78" s="88" t="s">
        <v>765</v>
      </c>
      <c r="E78" s="101">
        <v>14</v>
      </c>
      <c r="F78" s="101">
        <v>20</v>
      </c>
      <c r="G78" s="88">
        <v>4</v>
      </c>
      <c r="H78" s="88">
        <v>-5</v>
      </c>
      <c r="I78" s="88">
        <v>10</v>
      </c>
      <c r="J78" s="88" t="s">
        <v>1848</v>
      </c>
      <c r="K78" s="88" t="s">
        <v>1848</v>
      </c>
      <c r="L78" s="88" t="s">
        <v>1848</v>
      </c>
      <c r="M78" s="88" t="s">
        <v>1848</v>
      </c>
      <c r="N78" s="88" t="s">
        <v>1848</v>
      </c>
      <c r="O78" s="88" t="s">
        <v>1848</v>
      </c>
    </row>
    <row r="79" spans="3:15" ht="12.75">
      <c r="C79" s="101">
        <f t="shared" si="1"/>
        <v>43</v>
      </c>
      <c r="D79" s="88" t="s">
        <v>766</v>
      </c>
      <c r="E79" s="101">
        <v>20</v>
      </c>
      <c r="F79" s="101">
        <v>1</v>
      </c>
      <c r="G79" s="88">
        <v>2</v>
      </c>
      <c r="H79" s="88">
        <v>-3</v>
      </c>
      <c r="I79" s="88">
        <v>4</v>
      </c>
      <c r="J79" s="88" t="s">
        <v>1848</v>
      </c>
      <c r="K79" s="88" t="s">
        <v>1848</v>
      </c>
      <c r="L79" s="88" t="s">
        <v>1848</v>
      </c>
      <c r="M79" s="88" t="s">
        <v>1848</v>
      </c>
      <c r="N79" s="88" t="s">
        <v>1848</v>
      </c>
      <c r="O79" s="88" t="s">
        <v>1848</v>
      </c>
    </row>
    <row r="80" spans="3:15" ht="12.75">
      <c r="C80" s="101">
        <f t="shared" si="1"/>
        <v>44</v>
      </c>
      <c r="D80" s="88" t="s">
        <v>767</v>
      </c>
      <c r="E80" s="101">
        <v>20</v>
      </c>
      <c r="F80" s="101">
        <v>2</v>
      </c>
      <c r="G80" s="88">
        <v>2</v>
      </c>
      <c r="H80" s="88">
        <v>-3</v>
      </c>
      <c r="I80" s="88">
        <v>4</v>
      </c>
      <c r="J80" s="88" t="s">
        <v>1848</v>
      </c>
      <c r="K80" s="88" t="s">
        <v>1848</v>
      </c>
      <c r="L80" s="88" t="s">
        <v>1848</v>
      </c>
      <c r="M80" s="88" t="s">
        <v>1848</v>
      </c>
      <c r="N80" s="88" t="s">
        <v>1848</v>
      </c>
      <c r="O80" s="88" t="s">
        <v>1848</v>
      </c>
    </row>
    <row r="81" spans="3:15" ht="12.75">
      <c r="C81" s="101">
        <f t="shared" si="1"/>
        <v>45</v>
      </c>
      <c r="D81" s="88" t="s">
        <v>768</v>
      </c>
      <c r="E81" s="101">
        <v>20</v>
      </c>
      <c r="F81" s="101">
        <v>3</v>
      </c>
      <c r="G81" s="88">
        <v>2</v>
      </c>
      <c r="H81" s="88">
        <v>-3</v>
      </c>
      <c r="I81" s="88">
        <v>5</v>
      </c>
      <c r="J81" s="88" t="s">
        <v>1848</v>
      </c>
      <c r="K81" s="88" t="s">
        <v>1848</v>
      </c>
      <c r="L81" s="88" t="s">
        <v>1848</v>
      </c>
      <c r="M81" s="88" t="s">
        <v>1848</v>
      </c>
      <c r="N81" s="88" t="s">
        <v>1848</v>
      </c>
      <c r="O81" s="88" t="s">
        <v>1848</v>
      </c>
    </row>
    <row r="82" spans="3:15" ht="12.75">
      <c r="C82" s="101">
        <f t="shared" si="1"/>
        <v>46</v>
      </c>
      <c r="D82" s="88" t="s">
        <v>769</v>
      </c>
      <c r="E82" s="101">
        <v>18</v>
      </c>
      <c r="F82" s="101">
        <v>4</v>
      </c>
      <c r="G82" s="88">
        <v>3</v>
      </c>
      <c r="H82" s="88">
        <v>-3</v>
      </c>
      <c r="I82" s="88">
        <v>5</v>
      </c>
      <c r="J82" s="88" t="s">
        <v>1848</v>
      </c>
      <c r="K82" s="88" t="s">
        <v>1848</v>
      </c>
      <c r="L82" s="88" t="s">
        <v>1848</v>
      </c>
      <c r="M82" s="88" t="s">
        <v>1848</v>
      </c>
      <c r="N82" s="88" t="s">
        <v>1848</v>
      </c>
      <c r="O82" s="88" t="s">
        <v>1848</v>
      </c>
    </row>
    <row r="83" spans="3:15" ht="12.75">
      <c r="C83" s="101">
        <f t="shared" si="1"/>
        <v>47</v>
      </c>
      <c r="D83" s="88" t="s">
        <v>770</v>
      </c>
      <c r="E83" s="101">
        <v>18</v>
      </c>
      <c r="F83" s="101">
        <v>5</v>
      </c>
      <c r="G83" s="88">
        <v>3</v>
      </c>
      <c r="H83" s="88">
        <v>-3</v>
      </c>
      <c r="I83" s="88">
        <v>5</v>
      </c>
      <c r="J83" s="88" t="s">
        <v>1848</v>
      </c>
      <c r="K83" s="88" t="s">
        <v>1848</v>
      </c>
      <c r="L83" s="88" t="s">
        <v>1848</v>
      </c>
      <c r="M83" s="88" t="s">
        <v>1848</v>
      </c>
      <c r="N83" s="88" t="s">
        <v>1848</v>
      </c>
      <c r="O83" s="88" t="s">
        <v>1848</v>
      </c>
    </row>
    <row r="84" spans="3:15" ht="12.75">
      <c r="C84" s="101">
        <f t="shared" si="1"/>
        <v>48</v>
      </c>
      <c r="D84" s="88" t="s">
        <v>771</v>
      </c>
      <c r="E84" s="101">
        <v>18</v>
      </c>
      <c r="F84" s="101">
        <v>6</v>
      </c>
      <c r="G84" s="88">
        <v>3</v>
      </c>
      <c r="H84" s="88">
        <v>-3</v>
      </c>
      <c r="I84" s="88">
        <v>6</v>
      </c>
      <c r="J84" s="88" t="s">
        <v>1848</v>
      </c>
      <c r="K84" s="88" t="s">
        <v>1848</v>
      </c>
      <c r="L84" s="88" t="s">
        <v>1848</v>
      </c>
      <c r="M84" s="88" t="s">
        <v>1848</v>
      </c>
      <c r="N84" s="88" t="s">
        <v>1848</v>
      </c>
      <c r="O84" s="88" t="s">
        <v>1848</v>
      </c>
    </row>
    <row r="85" spans="3:15" ht="12.75">
      <c r="C85" s="101">
        <f t="shared" si="1"/>
        <v>49</v>
      </c>
      <c r="D85" s="88" t="s">
        <v>772</v>
      </c>
      <c r="E85" s="101">
        <v>16</v>
      </c>
      <c r="F85" s="101">
        <v>7</v>
      </c>
      <c r="G85" s="88">
        <v>3</v>
      </c>
      <c r="H85" s="88">
        <v>-3</v>
      </c>
      <c r="I85" s="88">
        <v>6</v>
      </c>
      <c r="J85" s="88" t="s">
        <v>1848</v>
      </c>
      <c r="K85" s="88" t="s">
        <v>1848</v>
      </c>
      <c r="L85" s="88" t="s">
        <v>1848</v>
      </c>
      <c r="M85" s="88" t="s">
        <v>1848</v>
      </c>
      <c r="N85" s="88" t="s">
        <v>1848</v>
      </c>
      <c r="O85" s="88" t="s">
        <v>1848</v>
      </c>
    </row>
    <row r="86" spans="3:15" ht="12.75">
      <c r="C86" s="101">
        <f t="shared" si="1"/>
        <v>50</v>
      </c>
      <c r="D86" s="88" t="s">
        <v>773</v>
      </c>
      <c r="E86" s="101">
        <v>16</v>
      </c>
      <c r="F86" s="101">
        <v>8</v>
      </c>
      <c r="G86" s="88">
        <v>4</v>
      </c>
      <c r="H86" s="88">
        <v>-3</v>
      </c>
      <c r="I86" s="88">
        <v>6</v>
      </c>
      <c r="J86" s="88" t="s">
        <v>1848</v>
      </c>
      <c r="K86" s="88" t="s">
        <v>1848</v>
      </c>
      <c r="L86" s="88" t="s">
        <v>1848</v>
      </c>
      <c r="M86" s="88" t="s">
        <v>1848</v>
      </c>
      <c r="N86" s="88" t="s">
        <v>1848</v>
      </c>
      <c r="O86" s="88" t="s">
        <v>1848</v>
      </c>
    </row>
    <row r="87" spans="3:15" ht="12.75">
      <c r="C87" s="101">
        <f t="shared" si="1"/>
        <v>51</v>
      </c>
      <c r="D87" s="88" t="s">
        <v>774</v>
      </c>
      <c r="E87" s="101">
        <v>16</v>
      </c>
      <c r="F87" s="101">
        <v>9</v>
      </c>
      <c r="G87" s="88">
        <v>4</v>
      </c>
      <c r="H87" s="88">
        <v>-3</v>
      </c>
      <c r="I87" s="88">
        <v>7</v>
      </c>
      <c r="J87" s="88" t="s">
        <v>1848</v>
      </c>
      <c r="K87" s="88" t="s">
        <v>1848</v>
      </c>
      <c r="L87" s="88" t="s">
        <v>1848</v>
      </c>
      <c r="M87" s="88" t="s">
        <v>1848</v>
      </c>
      <c r="N87" s="88" t="s">
        <v>1848</v>
      </c>
      <c r="O87" s="88" t="s">
        <v>1848</v>
      </c>
    </row>
    <row r="88" spans="3:15" ht="12.75">
      <c r="C88" s="101">
        <f t="shared" si="1"/>
        <v>52</v>
      </c>
      <c r="D88" s="88" t="s">
        <v>775</v>
      </c>
      <c r="E88" s="101">
        <v>14</v>
      </c>
      <c r="F88" s="101">
        <v>10</v>
      </c>
      <c r="G88" s="88">
        <v>4</v>
      </c>
      <c r="H88" s="88">
        <v>-3</v>
      </c>
      <c r="I88" s="88">
        <v>7</v>
      </c>
      <c r="J88" s="88" t="s">
        <v>1848</v>
      </c>
      <c r="K88" s="88" t="s">
        <v>1848</v>
      </c>
      <c r="L88" s="88" t="s">
        <v>1848</v>
      </c>
      <c r="M88" s="88" t="s">
        <v>1848</v>
      </c>
      <c r="N88" s="88" t="s">
        <v>1848</v>
      </c>
      <c r="O88" s="88" t="s">
        <v>1848</v>
      </c>
    </row>
    <row r="89" spans="3:15" ht="12.75">
      <c r="C89" s="101">
        <f t="shared" si="1"/>
        <v>53</v>
      </c>
      <c r="D89" s="88" t="s">
        <v>776</v>
      </c>
      <c r="E89" s="101">
        <v>14</v>
      </c>
      <c r="F89" s="101">
        <v>11</v>
      </c>
      <c r="G89" s="88">
        <v>4</v>
      </c>
      <c r="H89" s="88">
        <v>-3</v>
      </c>
      <c r="I89" s="88">
        <v>7</v>
      </c>
      <c r="J89" s="88" t="s">
        <v>1848</v>
      </c>
      <c r="K89" s="88" t="s">
        <v>1848</v>
      </c>
      <c r="L89" s="88" t="s">
        <v>1848</v>
      </c>
      <c r="M89" s="88" t="s">
        <v>1848</v>
      </c>
      <c r="N89" s="88" t="s">
        <v>1848</v>
      </c>
      <c r="O89" s="88" t="s">
        <v>1848</v>
      </c>
    </row>
    <row r="90" spans="3:15" ht="12.75">
      <c r="C90" s="101">
        <f t="shared" si="1"/>
        <v>54</v>
      </c>
      <c r="D90" s="88" t="s">
        <v>777</v>
      </c>
      <c r="E90" s="101">
        <v>14</v>
      </c>
      <c r="F90" s="101">
        <v>12</v>
      </c>
      <c r="G90" s="88">
        <v>5</v>
      </c>
      <c r="H90" s="88">
        <v>-3</v>
      </c>
      <c r="I90" s="88">
        <v>8</v>
      </c>
      <c r="J90" s="88" t="s">
        <v>1848</v>
      </c>
      <c r="K90" s="88" t="s">
        <v>1848</v>
      </c>
      <c r="L90" s="88" t="s">
        <v>1848</v>
      </c>
      <c r="M90" s="88" t="s">
        <v>1848</v>
      </c>
      <c r="N90" s="88" t="s">
        <v>1848</v>
      </c>
      <c r="O90" s="88" t="s">
        <v>1848</v>
      </c>
    </row>
    <row r="91" spans="3:15" ht="12.75">
      <c r="C91" s="101">
        <f t="shared" si="1"/>
        <v>55</v>
      </c>
      <c r="D91" s="88" t="s">
        <v>778</v>
      </c>
      <c r="E91" s="101">
        <v>12</v>
      </c>
      <c r="F91" s="101">
        <v>13</v>
      </c>
      <c r="G91" s="88">
        <v>5</v>
      </c>
      <c r="H91" s="88">
        <v>-3</v>
      </c>
      <c r="I91" s="88">
        <v>8</v>
      </c>
      <c r="J91" s="88" t="s">
        <v>1848</v>
      </c>
      <c r="K91" s="88" t="s">
        <v>1848</v>
      </c>
      <c r="L91" s="88" t="s">
        <v>1848</v>
      </c>
      <c r="M91" s="88" t="s">
        <v>1848</v>
      </c>
      <c r="N91" s="88" t="s">
        <v>1848</v>
      </c>
      <c r="O91" s="88" t="s">
        <v>1848</v>
      </c>
    </row>
    <row r="92" spans="3:15" ht="12.75">
      <c r="C92" s="101">
        <f t="shared" si="1"/>
        <v>56</v>
      </c>
      <c r="D92" s="88" t="s">
        <v>779</v>
      </c>
      <c r="E92" s="101">
        <v>12</v>
      </c>
      <c r="F92" s="101">
        <v>14</v>
      </c>
      <c r="G92" s="88">
        <v>5</v>
      </c>
      <c r="H92" s="88">
        <v>-3</v>
      </c>
      <c r="I92" s="88">
        <v>8</v>
      </c>
      <c r="J92" s="88" t="s">
        <v>1848</v>
      </c>
      <c r="K92" s="88" t="s">
        <v>1848</v>
      </c>
      <c r="L92" s="88" t="s">
        <v>1848</v>
      </c>
      <c r="M92" s="88" t="s">
        <v>1848</v>
      </c>
      <c r="N92" s="88" t="s">
        <v>1848</v>
      </c>
      <c r="O92" s="88" t="s">
        <v>1848</v>
      </c>
    </row>
    <row r="93" spans="3:15" ht="12.75">
      <c r="C93" s="101">
        <f t="shared" si="1"/>
        <v>57</v>
      </c>
      <c r="D93" s="88" t="s">
        <v>780</v>
      </c>
      <c r="E93" s="101">
        <v>12</v>
      </c>
      <c r="F93" s="101">
        <v>15</v>
      </c>
      <c r="G93" s="88">
        <v>5</v>
      </c>
      <c r="H93" s="88">
        <v>-3</v>
      </c>
      <c r="I93" s="88">
        <v>9</v>
      </c>
      <c r="J93" s="88" t="s">
        <v>1848</v>
      </c>
      <c r="K93" s="88" t="s">
        <v>1848</v>
      </c>
      <c r="L93" s="88" t="s">
        <v>1848</v>
      </c>
      <c r="M93" s="88" t="s">
        <v>1848</v>
      </c>
      <c r="N93" s="88" t="s">
        <v>1848</v>
      </c>
      <c r="O93" s="88" t="s">
        <v>1848</v>
      </c>
    </row>
    <row r="94" spans="3:15" ht="12.75">
      <c r="C94" s="101">
        <f t="shared" si="1"/>
        <v>58</v>
      </c>
      <c r="D94" s="88" t="s">
        <v>781</v>
      </c>
      <c r="E94" s="101">
        <v>10</v>
      </c>
      <c r="F94" s="101">
        <v>16</v>
      </c>
      <c r="G94" s="88">
        <v>6</v>
      </c>
      <c r="H94" s="88">
        <v>-3</v>
      </c>
      <c r="I94" s="88">
        <v>9</v>
      </c>
      <c r="J94" s="88" t="s">
        <v>1848</v>
      </c>
      <c r="K94" s="88" t="s">
        <v>1848</v>
      </c>
      <c r="L94" s="88" t="s">
        <v>1848</v>
      </c>
      <c r="M94" s="88" t="s">
        <v>1848</v>
      </c>
      <c r="N94" s="88" t="s">
        <v>1848</v>
      </c>
      <c r="O94" s="88" t="s">
        <v>1848</v>
      </c>
    </row>
    <row r="95" spans="3:15" ht="12.75">
      <c r="C95" s="101">
        <f t="shared" si="1"/>
        <v>59</v>
      </c>
      <c r="D95" s="88" t="s">
        <v>782</v>
      </c>
      <c r="E95" s="101">
        <v>10</v>
      </c>
      <c r="F95" s="101">
        <v>17</v>
      </c>
      <c r="G95" s="88">
        <v>6</v>
      </c>
      <c r="H95" s="88">
        <v>-3</v>
      </c>
      <c r="I95" s="88">
        <v>9</v>
      </c>
      <c r="J95" s="88" t="s">
        <v>1848</v>
      </c>
      <c r="K95" s="88" t="s">
        <v>1848</v>
      </c>
      <c r="L95" s="88" t="s">
        <v>1848</v>
      </c>
      <c r="M95" s="88" t="s">
        <v>1848</v>
      </c>
      <c r="N95" s="88" t="s">
        <v>1848</v>
      </c>
      <c r="O95" s="88" t="s">
        <v>1848</v>
      </c>
    </row>
    <row r="96" spans="3:15" ht="12.75">
      <c r="C96" s="101">
        <f t="shared" si="1"/>
        <v>60</v>
      </c>
      <c r="D96" s="88" t="s">
        <v>783</v>
      </c>
      <c r="E96" s="101">
        <v>10</v>
      </c>
      <c r="F96" s="101">
        <v>18</v>
      </c>
      <c r="G96" s="88">
        <v>6</v>
      </c>
      <c r="H96" s="88">
        <v>-3</v>
      </c>
      <c r="I96" s="88">
        <v>10</v>
      </c>
      <c r="J96" s="88" t="s">
        <v>1848</v>
      </c>
      <c r="K96" s="88" t="s">
        <v>1848</v>
      </c>
      <c r="L96" s="88" t="s">
        <v>1848</v>
      </c>
      <c r="M96" s="88" t="s">
        <v>1848</v>
      </c>
      <c r="N96" s="88" t="s">
        <v>1848</v>
      </c>
      <c r="O96" s="88" t="s">
        <v>1848</v>
      </c>
    </row>
    <row r="97" spans="3:15" ht="12.75">
      <c r="C97" s="101">
        <f t="shared" si="1"/>
        <v>61</v>
      </c>
      <c r="D97" s="88" t="s">
        <v>784</v>
      </c>
      <c r="E97" s="101">
        <v>8</v>
      </c>
      <c r="F97" s="101">
        <v>19</v>
      </c>
      <c r="G97" s="88">
        <v>6</v>
      </c>
      <c r="H97" s="88">
        <v>-3</v>
      </c>
      <c r="I97" s="88">
        <v>10</v>
      </c>
      <c r="J97" s="88" t="s">
        <v>1848</v>
      </c>
      <c r="K97" s="88" t="s">
        <v>1848</v>
      </c>
      <c r="L97" s="88" t="s">
        <v>1848</v>
      </c>
      <c r="M97" s="88" t="s">
        <v>1848</v>
      </c>
      <c r="N97" s="88" t="s">
        <v>1848</v>
      </c>
      <c r="O97" s="88" t="s">
        <v>1848</v>
      </c>
    </row>
    <row r="98" spans="3:15" ht="12.75">
      <c r="C98" s="101">
        <f t="shared" si="1"/>
        <v>62</v>
      </c>
      <c r="D98" s="88" t="s">
        <v>785</v>
      </c>
      <c r="E98" s="101">
        <v>8</v>
      </c>
      <c r="F98" s="101">
        <v>20</v>
      </c>
      <c r="G98" s="88">
        <v>7</v>
      </c>
      <c r="H98" s="88">
        <v>-3</v>
      </c>
      <c r="I98" s="88">
        <v>10</v>
      </c>
      <c r="J98" s="88" t="s">
        <v>1848</v>
      </c>
      <c r="K98" s="88" t="s">
        <v>1848</v>
      </c>
      <c r="L98" s="88" t="s">
        <v>1848</v>
      </c>
      <c r="M98" s="88" t="s">
        <v>1848</v>
      </c>
      <c r="N98" s="88" t="s">
        <v>1848</v>
      </c>
      <c r="O98" s="88" t="s">
        <v>1848</v>
      </c>
    </row>
    <row r="99" spans="3:15" ht="12.75">
      <c r="C99" s="101">
        <f t="shared" si="1"/>
        <v>63</v>
      </c>
      <c r="D99" s="88" t="s">
        <v>786</v>
      </c>
      <c r="E99" s="101">
        <v>20</v>
      </c>
      <c r="F99" s="101">
        <v>1</v>
      </c>
      <c r="G99" s="88">
        <v>2</v>
      </c>
      <c r="H99" s="88">
        <v>-3</v>
      </c>
      <c r="I99" s="88">
        <v>3</v>
      </c>
      <c r="J99" s="88" t="s">
        <v>1848</v>
      </c>
      <c r="K99" s="88" t="s">
        <v>1848</v>
      </c>
      <c r="L99" s="88" t="s">
        <v>1848</v>
      </c>
      <c r="M99" s="88" t="s">
        <v>1848</v>
      </c>
      <c r="N99" s="88" t="s">
        <v>1848</v>
      </c>
      <c r="O99" s="88" t="s">
        <v>1848</v>
      </c>
    </row>
    <row r="100" spans="3:15" ht="12.75">
      <c r="C100" s="101">
        <f t="shared" si="1"/>
        <v>64</v>
      </c>
      <c r="D100" s="88" t="s">
        <v>787</v>
      </c>
      <c r="E100" s="101">
        <v>20</v>
      </c>
      <c r="F100" s="101">
        <v>2</v>
      </c>
      <c r="G100" s="88">
        <v>2</v>
      </c>
      <c r="H100" s="88">
        <v>-3</v>
      </c>
      <c r="I100" s="88">
        <v>3</v>
      </c>
      <c r="J100" s="88" t="s">
        <v>1848</v>
      </c>
      <c r="K100" s="88" t="s">
        <v>1848</v>
      </c>
      <c r="L100" s="88" t="s">
        <v>1848</v>
      </c>
      <c r="M100" s="88" t="s">
        <v>1848</v>
      </c>
      <c r="N100" s="88" t="s">
        <v>1848</v>
      </c>
      <c r="O100" s="88" t="s">
        <v>1848</v>
      </c>
    </row>
    <row r="101" spans="3:15" ht="12.75">
      <c r="C101" s="101">
        <f t="shared" si="1"/>
        <v>65</v>
      </c>
      <c r="D101" s="88" t="s">
        <v>788</v>
      </c>
      <c r="E101" s="101">
        <v>19</v>
      </c>
      <c r="F101" s="101">
        <v>3</v>
      </c>
      <c r="G101" s="88">
        <v>2</v>
      </c>
      <c r="H101" s="88">
        <v>-3</v>
      </c>
      <c r="I101" s="88">
        <v>3</v>
      </c>
      <c r="J101" s="88" t="s">
        <v>1848</v>
      </c>
      <c r="K101" s="88" t="s">
        <v>1848</v>
      </c>
      <c r="L101" s="88" t="s">
        <v>1848</v>
      </c>
      <c r="M101" s="88" t="s">
        <v>1848</v>
      </c>
      <c r="N101" s="88" t="s">
        <v>1848</v>
      </c>
      <c r="O101" s="88" t="s">
        <v>1848</v>
      </c>
    </row>
    <row r="102" spans="3:15" ht="12.75">
      <c r="C102" s="101">
        <f t="shared" si="1"/>
        <v>66</v>
      </c>
      <c r="D102" s="88" t="s">
        <v>789</v>
      </c>
      <c r="E102" s="101">
        <v>19</v>
      </c>
      <c r="F102" s="101">
        <v>4</v>
      </c>
      <c r="G102" s="88">
        <v>3</v>
      </c>
      <c r="H102" s="88">
        <v>-3</v>
      </c>
      <c r="I102" s="88">
        <v>4</v>
      </c>
      <c r="J102" s="88" t="s">
        <v>1848</v>
      </c>
      <c r="K102" s="88" t="s">
        <v>1848</v>
      </c>
      <c r="L102" s="88" t="s">
        <v>1848</v>
      </c>
      <c r="M102" s="88" t="s">
        <v>1848</v>
      </c>
      <c r="N102" s="88" t="s">
        <v>1848</v>
      </c>
      <c r="O102" s="88" t="s">
        <v>1848</v>
      </c>
    </row>
    <row r="103" spans="3:15" ht="12.75">
      <c r="C103" s="101">
        <f t="shared" si="1"/>
        <v>67</v>
      </c>
      <c r="D103" s="88" t="s">
        <v>790</v>
      </c>
      <c r="E103" s="101">
        <v>18</v>
      </c>
      <c r="F103" s="101">
        <v>5</v>
      </c>
      <c r="G103" s="88">
        <v>3</v>
      </c>
      <c r="H103" s="88">
        <v>-3</v>
      </c>
      <c r="I103" s="88">
        <v>4</v>
      </c>
      <c r="J103" s="88" t="s">
        <v>1848</v>
      </c>
      <c r="K103" s="88" t="s">
        <v>1848</v>
      </c>
      <c r="L103" s="88" t="s">
        <v>1848</v>
      </c>
      <c r="M103" s="88" t="s">
        <v>1848</v>
      </c>
      <c r="N103" s="88" t="s">
        <v>1848</v>
      </c>
      <c r="O103" s="88" t="s">
        <v>1848</v>
      </c>
    </row>
    <row r="104" spans="3:15" ht="12.75">
      <c r="C104" s="101">
        <f aca="true" t="shared" si="2" ref="C104:C118">C103+1</f>
        <v>68</v>
      </c>
      <c r="D104" s="88" t="s">
        <v>791</v>
      </c>
      <c r="E104" s="101">
        <v>18</v>
      </c>
      <c r="F104" s="101">
        <v>6</v>
      </c>
      <c r="G104" s="88">
        <v>3</v>
      </c>
      <c r="H104" s="88">
        <v>-3</v>
      </c>
      <c r="I104" s="88">
        <v>4</v>
      </c>
      <c r="J104" s="88" t="s">
        <v>1848</v>
      </c>
      <c r="K104" s="88" t="s">
        <v>1848</v>
      </c>
      <c r="L104" s="88" t="s">
        <v>1848</v>
      </c>
      <c r="M104" s="88" t="s">
        <v>1848</v>
      </c>
      <c r="N104" s="88" t="s">
        <v>1848</v>
      </c>
      <c r="O104" s="88" t="s">
        <v>1848</v>
      </c>
    </row>
    <row r="105" spans="3:15" ht="12.75">
      <c r="C105" s="101">
        <f t="shared" si="2"/>
        <v>69</v>
      </c>
      <c r="D105" s="88" t="s">
        <v>792</v>
      </c>
      <c r="E105" s="101">
        <v>17</v>
      </c>
      <c r="F105" s="101">
        <v>7</v>
      </c>
      <c r="G105" s="88">
        <v>3</v>
      </c>
      <c r="H105" s="88">
        <v>-3</v>
      </c>
      <c r="I105" s="88">
        <v>4</v>
      </c>
      <c r="J105" s="88" t="s">
        <v>1848</v>
      </c>
      <c r="K105" s="88" t="s">
        <v>1848</v>
      </c>
      <c r="L105" s="88" t="s">
        <v>1848</v>
      </c>
      <c r="M105" s="88" t="s">
        <v>1848</v>
      </c>
      <c r="N105" s="88" t="s">
        <v>1848</v>
      </c>
      <c r="O105" s="88" t="s">
        <v>1848</v>
      </c>
    </row>
    <row r="106" spans="3:15" ht="12.75">
      <c r="C106" s="101">
        <f t="shared" si="2"/>
        <v>70</v>
      </c>
      <c r="D106" s="88" t="s">
        <v>793</v>
      </c>
      <c r="E106" s="101">
        <v>17</v>
      </c>
      <c r="F106" s="101">
        <v>8</v>
      </c>
      <c r="G106" s="88">
        <v>4</v>
      </c>
      <c r="H106" s="88">
        <v>-3</v>
      </c>
      <c r="I106" s="88">
        <v>5</v>
      </c>
      <c r="J106" s="88" t="s">
        <v>1848</v>
      </c>
      <c r="K106" s="88" t="s">
        <v>1848</v>
      </c>
      <c r="L106" s="88" t="s">
        <v>1848</v>
      </c>
      <c r="M106" s="88" t="s">
        <v>1848</v>
      </c>
      <c r="N106" s="88" t="s">
        <v>1848</v>
      </c>
      <c r="O106" s="88" t="s">
        <v>1848</v>
      </c>
    </row>
    <row r="107" spans="3:15" ht="12.75">
      <c r="C107" s="101">
        <f t="shared" si="2"/>
        <v>71</v>
      </c>
      <c r="D107" s="88" t="s">
        <v>794</v>
      </c>
      <c r="E107" s="101">
        <v>16</v>
      </c>
      <c r="F107" s="101">
        <v>9</v>
      </c>
      <c r="G107" s="88">
        <v>4</v>
      </c>
      <c r="H107" s="88">
        <v>-3</v>
      </c>
      <c r="I107" s="88">
        <v>5</v>
      </c>
      <c r="J107" s="88" t="s">
        <v>1848</v>
      </c>
      <c r="K107" s="88" t="s">
        <v>1848</v>
      </c>
      <c r="L107" s="88" t="s">
        <v>1848</v>
      </c>
      <c r="M107" s="88" t="s">
        <v>1848</v>
      </c>
      <c r="N107" s="88" t="s">
        <v>1848</v>
      </c>
      <c r="O107" s="88" t="s">
        <v>1848</v>
      </c>
    </row>
    <row r="108" spans="3:15" ht="12.75">
      <c r="C108" s="101">
        <f t="shared" si="2"/>
        <v>72</v>
      </c>
      <c r="D108" s="88" t="s">
        <v>795</v>
      </c>
      <c r="E108" s="101">
        <v>16</v>
      </c>
      <c r="F108" s="101">
        <v>10</v>
      </c>
      <c r="G108" s="88">
        <v>4</v>
      </c>
      <c r="H108" s="88">
        <v>-3</v>
      </c>
      <c r="I108" s="88">
        <v>5</v>
      </c>
      <c r="J108" s="88" t="s">
        <v>1848</v>
      </c>
      <c r="K108" s="88" t="s">
        <v>1848</v>
      </c>
      <c r="L108" s="88" t="s">
        <v>1848</v>
      </c>
      <c r="M108" s="88" t="s">
        <v>1848</v>
      </c>
      <c r="N108" s="88" t="s">
        <v>1848</v>
      </c>
      <c r="O108" s="88" t="s">
        <v>1848</v>
      </c>
    </row>
    <row r="109" spans="3:15" ht="12.75">
      <c r="C109" s="101">
        <f t="shared" si="2"/>
        <v>73</v>
      </c>
      <c r="D109" s="88" t="s">
        <v>796</v>
      </c>
      <c r="E109" s="101">
        <v>15</v>
      </c>
      <c r="F109" s="101">
        <v>11</v>
      </c>
      <c r="G109" s="88">
        <v>4</v>
      </c>
      <c r="H109" s="88">
        <v>-3</v>
      </c>
      <c r="I109" s="88">
        <v>5</v>
      </c>
      <c r="J109" s="88" t="s">
        <v>1848</v>
      </c>
      <c r="K109" s="88" t="s">
        <v>1848</v>
      </c>
      <c r="L109" s="88" t="s">
        <v>1848</v>
      </c>
      <c r="M109" s="88" t="s">
        <v>1848</v>
      </c>
      <c r="N109" s="88" t="s">
        <v>1848</v>
      </c>
      <c r="O109" s="88" t="s">
        <v>1848</v>
      </c>
    </row>
    <row r="110" spans="3:15" ht="12.75">
      <c r="C110" s="101">
        <f t="shared" si="2"/>
        <v>74</v>
      </c>
      <c r="D110" s="88" t="s">
        <v>797</v>
      </c>
      <c r="E110" s="101">
        <v>15</v>
      </c>
      <c r="F110" s="101">
        <v>12</v>
      </c>
      <c r="G110" s="88">
        <v>5</v>
      </c>
      <c r="H110" s="88">
        <v>-3</v>
      </c>
      <c r="I110" s="88">
        <v>6</v>
      </c>
      <c r="J110" s="88" t="s">
        <v>1848</v>
      </c>
      <c r="K110" s="88" t="s">
        <v>1848</v>
      </c>
      <c r="L110" s="88" t="s">
        <v>1848</v>
      </c>
      <c r="M110" s="88" t="s">
        <v>1848</v>
      </c>
      <c r="N110" s="88" t="s">
        <v>1848</v>
      </c>
      <c r="O110" s="88" t="s">
        <v>1848</v>
      </c>
    </row>
    <row r="111" spans="3:15" ht="12.75">
      <c r="C111" s="101">
        <f t="shared" si="2"/>
        <v>75</v>
      </c>
      <c r="D111" s="88" t="s">
        <v>798</v>
      </c>
      <c r="E111" s="101">
        <v>14</v>
      </c>
      <c r="F111" s="101">
        <v>13</v>
      </c>
      <c r="G111" s="88">
        <v>5</v>
      </c>
      <c r="H111" s="88">
        <v>-3</v>
      </c>
      <c r="I111" s="88">
        <v>6</v>
      </c>
      <c r="J111" s="88" t="s">
        <v>1848</v>
      </c>
      <c r="K111" s="88" t="s">
        <v>1848</v>
      </c>
      <c r="L111" s="88" t="s">
        <v>1848</v>
      </c>
      <c r="M111" s="88" t="s">
        <v>1848</v>
      </c>
      <c r="N111" s="88" t="s">
        <v>1848</v>
      </c>
      <c r="O111" s="88" t="s">
        <v>1848</v>
      </c>
    </row>
    <row r="112" spans="3:15" ht="12.75">
      <c r="C112" s="101">
        <f t="shared" si="2"/>
        <v>76</v>
      </c>
      <c r="D112" s="88" t="s">
        <v>799</v>
      </c>
      <c r="E112" s="101">
        <v>14</v>
      </c>
      <c r="F112" s="101">
        <v>14</v>
      </c>
      <c r="G112" s="88">
        <v>5</v>
      </c>
      <c r="H112" s="88">
        <v>-3</v>
      </c>
      <c r="I112" s="88">
        <v>6</v>
      </c>
      <c r="J112" s="88" t="s">
        <v>1848</v>
      </c>
      <c r="K112" s="88" t="s">
        <v>1848</v>
      </c>
      <c r="L112" s="88" t="s">
        <v>1848</v>
      </c>
      <c r="M112" s="88" t="s">
        <v>1848</v>
      </c>
      <c r="N112" s="88" t="s">
        <v>1848</v>
      </c>
      <c r="O112" s="88" t="s">
        <v>1848</v>
      </c>
    </row>
    <row r="113" spans="3:15" ht="12.75">
      <c r="C113" s="101">
        <f t="shared" si="2"/>
        <v>77</v>
      </c>
      <c r="D113" s="88" t="s">
        <v>800</v>
      </c>
      <c r="E113" s="101">
        <v>13</v>
      </c>
      <c r="F113" s="101">
        <v>15</v>
      </c>
      <c r="G113" s="88">
        <v>5</v>
      </c>
      <c r="H113" s="88">
        <v>-3</v>
      </c>
      <c r="I113" s="88">
        <v>6</v>
      </c>
      <c r="J113" s="88" t="s">
        <v>1848</v>
      </c>
      <c r="K113" s="88" t="s">
        <v>1848</v>
      </c>
      <c r="L113" s="88" t="s">
        <v>1848</v>
      </c>
      <c r="M113" s="88" t="s">
        <v>1848</v>
      </c>
      <c r="N113" s="88" t="s">
        <v>1848</v>
      </c>
      <c r="O113" s="88" t="s">
        <v>1848</v>
      </c>
    </row>
    <row r="114" spans="3:15" ht="12.75">
      <c r="C114" s="101">
        <f t="shared" si="2"/>
        <v>78</v>
      </c>
      <c r="D114" s="88" t="s">
        <v>801</v>
      </c>
      <c r="E114" s="101">
        <v>13</v>
      </c>
      <c r="F114" s="101">
        <v>16</v>
      </c>
      <c r="G114" s="88">
        <v>6</v>
      </c>
      <c r="H114" s="88">
        <v>-3</v>
      </c>
      <c r="I114" s="88">
        <v>7</v>
      </c>
      <c r="J114" s="88" t="s">
        <v>1848</v>
      </c>
      <c r="K114" s="88" t="s">
        <v>1848</v>
      </c>
      <c r="L114" s="88" t="s">
        <v>1848</v>
      </c>
      <c r="M114" s="88" t="s">
        <v>1848</v>
      </c>
      <c r="N114" s="88" t="s">
        <v>1848</v>
      </c>
      <c r="O114" s="88" t="s">
        <v>1848</v>
      </c>
    </row>
    <row r="115" spans="3:15" ht="12.75">
      <c r="C115" s="101">
        <f t="shared" si="2"/>
        <v>79</v>
      </c>
      <c r="D115" s="88" t="s">
        <v>802</v>
      </c>
      <c r="E115" s="101">
        <v>12</v>
      </c>
      <c r="F115" s="101">
        <v>17</v>
      </c>
      <c r="G115" s="88">
        <v>6</v>
      </c>
      <c r="H115" s="88">
        <v>-3</v>
      </c>
      <c r="I115" s="88">
        <v>7</v>
      </c>
      <c r="J115" s="88" t="s">
        <v>1848</v>
      </c>
      <c r="K115" s="88" t="s">
        <v>1848</v>
      </c>
      <c r="L115" s="88" t="s">
        <v>1848</v>
      </c>
      <c r="M115" s="88" t="s">
        <v>1848</v>
      </c>
      <c r="N115" s="88" t="s">
        <v>1848</v>
      </c>
      <c r="O115" s="88" t="s">
        <v>1848</v>
      </c>
    </row>
    <row r="116" spans="3:15" ht="12.75">
      <c r="C116" s="101">
        <f t="shared" si="2"/>
        <v>80</v>
      </c>
      <c r="D116" s="88" t="s">
        <v>803</v>
      </c>
      <c r="E116" s="101">
        <v>12</v>
      </c>
      <c r="F116" s="101">
        <v>18</v>
      </c>
      <c r="G116" s="88">
        <v>6</v>
      </c>
      <c r="H116" s="88">
        <v>-3</v>
      </c>
      <c r="I116" s="88">
        <v>7</v>
      </c>
      <c r="J116" s="88" t="s">
        <v>1848</v>
      </c>
      <c r="K116" s="88" t="s">
        <v>1848</v>
      </c>
      <c r="L116" s="88" t="s">
        <v>1848</v>
      </c>
      <c r="M116" s="88" t="s">
        <v>1848</v>
      </c>
      <c r="N116" s="88" t="s">
        <v>1848</v>
      </c>
      <c r="O116" s="88" t="s">
        <v>1848</v>
      </c>
    </row>
    <row r="117" spans="3:15" ht="12.75">
      <c r="C117" s="101">
        <f t="shared" si="2"/>
        <v>81</v>
      </c>
      <c r="D117" s="88" t="s">
        <v>804</v>
      </c>
      <c r="E117" s="101">
        <v>11</v>
      </c>
      <c r="F117" s="101">
        <v>19</v>
      </c>
      <c r="G117" s="88">
        <v>7</v>
      </c>
      <c r="H117" s="88">
        <v>-3</v>
      </c>
      <c r="I117" s="88">
        <v>7</v>
      </c>
      <c r="J117" s="88" t="s">
        <v>1848</v>
      </c>
      <c r="K117" s="88" t="s">
        <v>1848</v>
      </c>
      <c r="L117" s="88" t="s">
        <v>1848</v>
      </c>
      <c r="M117" s="88" t="s">
        <v>1848</v>
      </c>
      <c r="N117" s="88" t="s">
        <v>1848</v>
      </c>
      <c r="O117" s="88" t="s">
        <v>1848</v>
      </c>
    </row>
    <row r="118" spans="3:15" ht="12.75">
      <c r="C118" s="101">
        <f t="shared" si="2"/>
        <v>82</v>
      </c>
      <c r="D118" s="88" t="s">
        <v>805</v>
      </c>
      <c r="E118" s="101">
        <v>11</v>
      </c>
      <c r="F118" s="101">
        <v>20</v>
      </c>
      <c r="G118" s="88">
        <v>7</v>
      </c>
      <c r="H118" s="88">
        <v>-3</v>
      </c>
      <c r="I118" s="88">
        <v>8</v>
      </c>
      <c r="J118" s="88" t="s">
        <v>1848</v>
      </c>
      <c r="K118" s="88" t="s">
        <v>1848</v>
      </c>
      <c r="L118" s="88" t="s">
        <v>1848</v>
      </c>
      <c r="M118" s="88" t="s">
        <v>1848</v>
      </c>
      <c r="N118" s="88" t="s">
        <v>1848</v>
      </c>
      <c r="O118" s="88" t="s">
        <v>1848</v>
      </c>
    </row>
    <row r="119" ht="4.5" customHeight="1"/>
    <row r="120" ht="4.5" customHeight="1"/>
    <row r="121" ht="12.75">
      <c r="C121" s="102" t="s">
        <v>807</v>
      </c>
    </row>
    <row r="122" spans="4:8" ht="12.75">
      <c r="D122" s="92" t="s">
        <v>808</v>
      </c>
      <c r="E122" s="92"/>
      <c r="F122" s="92"/>
      <c r="H122" s="92" t="s">
        <v>818</v>
      </c>
    </row>
    <row r="123" spans="3:8" ht="12.75">
      <c r="C123" s="101">
        <v>1</v>
      </c>
      <c r="D123" s="88" t="s">
        <v>809</v>
      </c>
      <c r="H123" s="107" t="s">
        <v>2496</v>
      </c>
    </row>
    <row r="124" spans="3:8" ht="12.75">
      <c r="C124" s="101">
        <f>C123+1</f>
        <v>2</v>
      </c>
      <c r="D124" s="88" t="s">
        <v>810</v>
      </c>
      <c r="H124" s="107" t="s">
        <v>2499</v>
      </c>
    </row>
    <row r="125" spans="3:8" ht="12.75">
      <c r="C125" s="101">
        <f aca="true" t="shared" si="3" ref="C125:C131">C124+1</f>
        <v>3</v>
      </c>
      <c r="D125" s="88" t="s">
        <v>811</v>
      </c>
      <c r="H125" s="107" t="s">
        <v>2493</v>
      </c>
    </row>
    <row r="126" spans="3:8" ht="12.75">
      <c r="C126" s="101">
        <f t="shared" si="3"/>
        <v>4</v>
      </c>
      <c r="D126" s="88" t="s">
        <v>812</v>
      </c>
      <c r="H126" s="107" t="s">
        <v>2491</v>
      </c>
    </row>
    <row r="127" spans="3:8" ht="12.75">
      <c r="C127" s="101">
        <f t="shared" si="3"/>
        <v>5</v>
      </c>
      <c r="D127" s="88" t="s">
        <v>813</v>
      </c>
      <c r="H127" s="107" t="s">
        <v>2499</v>
      </c>
    </row>
    <row r="128" spans="3:8" ht="12.75">
      <c r="C128" s="101">
        <f t="shared" si="3"/>
        <v>6</v>
      </c>
      <c r="D128" s="88" t="s">
        <v>814</v>
      </c>
      <c r="H128" s="107" t="s">
        <v>69</v>
      </c>
    </row>
    <row r="129" spans="3:8" ht="12.75">
      <c r="C129" s="101">
        <f t="shared" si="3"/>
        <v>7</v>
      </c>
      <c r="D129" s="88" t="s">
        <v>815</v>
      </c>
      <c r="H129" s="107" t="s">
        <v>2497</v>
      </c>
    </row>
    <row r="130" spans="3:8" ht="12.75">
      <c r="C130" s="101">
        <f t="shared" si="3"/>
        <v>8</v>
      </c>
      <c r="D130" s="88" t="s">
        <v>816</v>
      </c>
      <c r="H130" s="107" t="s">
        <v>819</v>
      </c>
    </row>
    <row r="131" spans="3:8" ht="12.75">
      <c r="C131" s="101">
        <f t="shared" si="3"/>
        <v>9</v>
      </c>
      <c r="D131" s="88" t="s">
        <v>817</v>
      </c>
      <c r="H131" s="107" t="s">
        <v>2496</v>
      </c>
    </row>
    <row r="132" ht="4.5" customHeight="1"/>
    <row r="133" ht="4.5" customHeight="1"/>
    <row r="134" ht="12.75">
      <c r="C134" s="102" t="s">
        <v>820</v>
      </c>
    </row>
    <row r="135" spans="4:8" ht="12.75">
      <c r="D135" s="88" t="s">
        <v>821</v>
      </c>
      <c r="H135" s="92" t="s">
        <v>818</v>
      </c>
    </row>
    <row r="136" spans="4:8" ht="12.75">
      <c r="D136" s="88" t="s">
        <v>822</v>
      </c>
      <c r="H136" s="107" t="s">
        <v>2493</v>
      </c>
    </row>
    <row r="137" spans="4:8" ht="12.75">
      <c r="D137" s="88" t="s">
        <v>823</v>
      </c>
      <c r="H137" s="107" t="s">
        <v>2499</v>
      </c>
    </row>
    <row r="138" spans="4:8" ht="12.75">
      <c r="D138" s="88" t="s">
        <v>824</v>
      </c>
      <c r="H138" s="107" t="s">
        <v>2494</v>
      </c>
    </row>
    <row r="139" spans="4:8" ht="12.75">
      <c r="D139" s="88" t="s">
        <v>825</v>
      </c>
      <c r="H139" s="107" t="s">
        <v>2493</v>
      </c>
    </row>
    <row r="140" spans="4:8" ht="12.75">
      <c r="D140" s="88" t="s">
        <v>826</v>
      </c>
      <c r="H140" s="107" t="s">
        <v>2499</v>
      </c>
    </row>
    <row r="141" spans="4:8" ht="12.75">
      <c r="D141" s="88" t="s">
        <v>827</v>
      </c>
      <c r="H141" s="107" t="s">
        <v>69</v>
      </c>
    </row>
    <row r="142" spans="4:8" ht="12.75">
      <c r="D142" s="88" t="s">
        <v>828</v>
      </c>
      <c r="H142" s="107" t="s">
        <v>77</v>
      </c>
    </row>
    <row r="143" spans="4:8" ht="12.75">
      <c r="D143" s="88" t="s">
        <v>829</v>
      </c>
      <c r="H143" s="107" t="s">
        <v>35</v>
      </c>
    </row>
    <row r="144" spans="4:8" ht="12.75">
      <c r="D144" s="88" t="s">
        <v>830</v>
      </c>
      <c r="H144" s="107" t="s">
        <v>2496</v>
      </c>
    </row>
    <row r="145" ht="3" customHeight="1"/>
    <row r="146" ht="3" customHeight="1"/>
  </sheetData>
  <sheetProtection password="C795" sheet="1" objects="1" scenarios="1"/>
  <printOptions/>
  <pageMargins left="0.75" right="0.75" top="1" bottom="1" header="0.4921259845" footer="0.4921259845"/>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Tabelle15"/>
  <dimension ref="A2:P103"/>
  <sheetViews>
    <sheetView workbookViewId="0" topLeftCell="A1">
      <selection activeCell="B4" sqref="B4"/>
    </sheetView>
  </sheetViews>
  <sheetFormatPr defaultColWidth="11.421875" defaultRowHeight="12.75"/>
  <cols>
    <col min="1" max="1" width="4.421875" style="0" customWidth="1"/>
    <col min="2" max="2" width="18.140625" style="0" customWidth="1"/>
    <col min="3" max="4" width="12.7109375" style="0" customWidth="1"/>
    <col min="5" max="5" width="19.140625" style="0" customWidth="1"/>
    <col min="6" max="6" width="10.140625" style="0" customWidth="1"/>
    <col min="7" max="7" width="16.8515625" style="0" customWidth="1"/>
    <col min="8" max="8" width="12.421875" style="0" customWidth="1"/>
    <col min="9" max="9" width="12.7109375" style="0" customWidth="1"/>
    <col min="10" max="10" width="10.28125" style="0" customWidth="1"/>
    <col min="11" max="11" width="7.421875" style="0" customWidth="1"/>
    <col min="12" max="12" width="8.28125" style="0" customWidth="1"/>
    <col min="13" max="13" width="11.140625" style="0" customWidth="1"/>
    <col min="14" max="14" width="4.7109375" style="0" customWidth="1"/>
  </cols>
  <sheetData>
    <row r="2" spans="3:15" s="171" customFormat="1" ht="8.25">
      <c r="C2" s="171" t="s">
        <v>2056</v>
      </c>
      <c r="D2" s="171" t="s">
        <v>2057</v>
      </c>
      <c r="E2" s="171" t="s">
        <v>2058</v>
      </c>
      <c r="F2" s="171" t="s">
        <v>2059</v>
      </c>
      <c r="G2" s="171" t="s">
        <v>2060</v>
      </c>
      <c r="H2" s="171" t="s">
        <v>2061</v>
      </c>
      <c r="I2" s="171" t="s">
        <v>2062</v>
      </c>
      <c r="J2" s="171" t="s">
        <v>2063</v>
      </c>
      <c r="K2" s="171" t="s">
        <v>2067</v>
      </c>
      <c r="L2" s="171" t="s">
        <v>2065</v>
      </c>
      <c r="M2" s="171" t="s">
        <v>2066</v>
      </c>
      <c r="N2" s="171" t="s">
        <v>2073</v>
      </c>
      <c r="O2" s="171" t="s">
        <v>6</v>
      </c>
    </row>
    <row r="3" spans="2:11" ht="12.75">
      <c r="B3" t="s">
        <v>2064</v>
      </c>
      <c r="C3" s="172">
        <v>0.15</v>
      </c>
      <c r="D3" s="172">
        <v>0.1</v>
      </c>
      <c r="E3" s="172">
        <v>0.05</v>
      </c>
      <c r="F3" s="172">
        <v>0.1</v>
      </c>
      <c r="G3" s="172">
        <v>0.05</v>
      </c>
      <c r="H3" s="172">
        <v>0.15</v>
      </c>
      <c r="I3" s="172">
        <v>0.6</v>
      </c>
      <c r="J3" s="172">
        <v>0</v>
      </c>
      <c r="K3" s="174" t="s">
        <v>2068</v>
      </c>
    </row>
    <row r="4" spans="1:16" ht="12.75">
      <c r="A4">
        <f>A3+1</f>
        <v>1</v>
      </c>
      <c r="B4" s="88" t="s">
        <v>2571</v>
      </c>
      <c r="C4" s="173">
        <f>M4</f>
        <v>0.2</v>
      </c>
      <c r="D4" s="173">
        <f>M4</f>
        <v>0.2</v>
      </c>
      <c r="E4" s="173">
        <f>M4</f>
        <v>0.2</v>
      </c>
      <c r="F4" s="173">
        <f>M4</f>
        <v>0.2</v>
      </c>
      <c r="G4" s="173">
        <f>M4</f>
        <v>0.2</v>
      </c>
      <c r="H4" s="173">
        <f>M4</f>
        <v>0.2</v>
      </c>
      <c r="I4" s="173">
        <f>M4</f>
        <v>0.2</v>
      </c>
      <c r="J4" s="173">
        <f>M4</f>
        <v>0.2</v>
      </c>
      <c r="K4" s="174" t="s">
        <v>2068</v>
      </c>
      <c r="L4" s="173">
        <v>0.2</v>
      </c>
      <c r="M4" s="173">
        <v>0.2</v>
      </c>
      <c r="N4">
        <v>1</v>
      </c>
      <c r="O4" s="173">
        <v>0.05</v>
      </c>
      <c r="P4">
        <v>0</v>
      </c>
    </row>
    <row r="5" spans="1:16" ht="12.75">
      <c r="A5">
        <f>A4+1</f>
        <v>2</v>
      </c>
      <c r="B5" s="88" t="s">
        <v>2572</v>
      </c>
      <c r="C5" s="173">
        <f>C4+M5</f>
        <v>0.35</v>
      </c>
      <c r="D5" s="173">
        <f>D4+M5</f>
        <v>0.35</v>
      </c>
      <c r="E5" s="173">
        <f>E4+M5</f>
        <v>0.35</v>
      </c>
      <c r="F5" s="173">
        <f>F4+M5</f>
        <v>0.35</v>
      </c>
      <c r="G5" s="173">
        <f>G4+M5</f>
        <v>0.35</v>
      </c>
      <c r="H5" s="173">
        <f>H4+M5</f>
        <v>0.35</v>
      </c>
      <c r="I5" s="173">
        <f>I4+M5</f>
        <v>0.35</v>
      </c>
      <c r="J5" s="173">
        <f>J4+M5</f>
        <v>0.35</v>
      </c>
      <c r="K5" s="174" t="s">
        <v>2068</v>
      </c>
      <c r="L5" s="173">
        <v>0.35</v>
      </c>
      <c r="M5" s="173">
        <v>0.15</v>
      </c>
      <c r="N5">
        <v>2</v>
      </c>
      <c r="O5" s="173">
        <v>0.1</v>
      </c>
      <c r="P5">
        <v>0</v>
      </c>
    </row>
    <row r="6" spans="1:16" ht="12.75">
      <c r="A6">
        <f aca="true" t="shared" si="0" ref="A6:A23">A5+1</f>
        <v>3</v>
      </c>
      <c r="B6" s="88" t="s">
        <v>2573</v>
      </c>
      <c r="C6" s="173">
        <f>C5+M6</f>
        <v>0.5</v>
      </c>
      <c r="D6" s="173">
        <f>D5+M6</f>
        <v>0.5</v>
      </c>
      <c r="E6" s="173">
        <f>E5+M6</f>
        <v>0.5</v>
      </c>
      <c r="F6" s="173">
        <f>F5+M6</f>
        <v>0.5</v>
      </c>
      <c r="G6" s="173">
        <f>G5+M6</f>
        <v>0.5</v>
      </c>
      <c r="H6" s="173">
        <f>H5+M6</f>
        <v>0.5</v>
      </c>
      <c r="I6" s="173">
        <f>I5+M6</f>
        <v>0.5</v>
      </c>
      <c r="J6" s="173">
        <f>J5+M6</f>
        <v>0.5</v>
      </c>
      <c r="K6" s="174" t="s">
        <v>2068</v>
      </c>
      <c r="L6" s="173">
        <v>0.5</v>
      </c>
      <c r="M6" s="173">
        <v>0.15</v>
      </c>
      <c r="N6">
        <v>3</v>
      </c>
      <c r="O6" s="173">
        <v>0.15</v>
      </c>
      <c r="P6">
        <v>-1</v>
      </c>
    </row>
    <row r="7" spans="1:16" ht="12.75">
      <c r="A7">
        <f t="shared" si="0"/>
        <v>4</v>
      </c>
      <c r="B7" s="88" t="s">
        <v>2574</v>
      </c>
      <c r="C7" s="173">
        <f>C6+M7</f>
        <v>0.65</v>
      </c>
      <c r="D7" s="173">
        <f>D6+M7</f>
        <v>0.65</v>
      </c>
      <c r="E7" s="173">
        <f>E6+M7</f>
        <v>0.65</v>
      </c>
      <c r="F7" s="173">
        <f>F6+M7</f>
        <v>0.65</v>
      </c>
      <c r="G7" s="173">
        <f>G6+M7</f>
        <v>0.65</v>
      </c>
      <c r="H7" s="173">
        <f>H6+M7</f>
        <v>0.65</v>
      </c>
      <c r="I7" s="173">
        <f>I6+M7</f>
        <v>0.65</v>
      </c>
      <c r="J7" s="173">
        <f>J6+M7</f>
        <v>0.65</v>
      </c>
      <c r="K7" s="174" t="s">
        <v>2068</v>
      </c>
      <c r="L7" s="173">
        <v>0.65</v>
      </c>
      <c r="M7" s="173">
        <v>0.15</v>
      </c>
      <c r="N7">
        <v>4</v>
      </c>
      <c r="O7" s="173">
        <v>0.2</v>
      </c>
      <c r="P7">
        <v>-1</v>
      </c>
    </row>
    <row r="8" spans="1:16" ht="12.75">
      <c r="A8">
        <f t="shared" si="0"/>
        <v>5</v>
      </c>
      <c r="B8" s="88" t="s">
        <v>2575</v>
      </c>
      <c r="C8" s="173">
        <f>C7+M8</f>
        <v>0.8</v>
      </c>
      <c r="D8" s="173">
        <f>D7+M8</f>
        <v>0.8</v>
      </c>
      <c r="E8" s="173">
        <f>E7+M8</f>
        <v>0.8</v>
      </c>
      <c r="F8" s="173">
        <f>F7+M8</f>
        <v>0.8</v>
      </c>
      <c r="G8" s="173">
        <f>G7+M8</f>
        <v>0.8</v>
      </c>
      <c r="H8" s="173">
        <f>H7+M8</f>
        <v>0.8</v>
      </c>
      <c r="I8" s="173">
        <f>I7+M8</f>
        <v>0.8</v>
      </c>
      <c r="J8" s="173">
        <f>J7+M8</f>
        <v>0.8</v>
      </c>
      <c r="K8" s="174" t="s">
        <v>2069</v>
      </c>
      <c r="L8" s="173">
        <v>0.8</v>
      </c>
      <c r="M8" s="173">
        <v>0.15</v>
      </c>
      <c r="N8">
        <v>5</v>
      </c>
      <c r="O8" s="173">
        <v>0.25</v>
      </c>
      <c r="P8">
        <v>-1</v>
      </c>
    </row>
    <row r="9" spans="1:16" ht="12.75">
      <c r="A9">
        <f t="shared" si="0"/>
        <v>6</v>
      </c>
      <c r="B9" s="88" t="s">
        <v>2576</v>
      </c>
      <c r="C9" s="173">
        <f>C8+M9</f>
        <v>0.9500000000000001</v>
      </c>
      <c r="D9" s="173">
        <f>D8+M9</f>
        <v>0.9500000000000001</v>
      </c>
      <c r="E9" s="173">
        <f>E8+M9</f>
        <v>0.9500000000000001</v>
      </c>
      <c r="F9" s="173">
        <f>F8+M9</f>
        <v>0.9500000000000001</v>
      </c>
      <c r="G9" s="173">
        <f>G8+M9</f>
        <v>0.9500000000000001</v>
      </c>
      <c r="H9" s="173">
        <f>H8+M9</f>
        <v>0.9500000000000001</v>
      </c>
      <c r="I9" s="173">
        <f>I8+M9</f>
        <v>0.9500000000000001</v>
      </c>
      <c r="J9" s="173">
        <f>J8+M9</f>
        <v>0.9500000000000001</v>
      </c>
      <c r="K9" s="174" t="s">
        <v>2069</v>
      </c>
      <c r="L9" s="173">
        <v>0.95</v>
      </c>
      <c r="M9" s="173">
        <v>0.15</v>
      </c>
      <c r="N9">
        <v>6</v>
      </c>
      <c r="O9" s="173">
        <v>0.3</v>
      </c>
      <c r="P9">
        <v>-2</v>
      </c>
    </row>
    <row r="10" spans="1:16" ht="12.75">
      <c r="A10">
        <f t="shared" si="0"/>
        <v>7</v>
      </c>
      <c r="B10" s="88" t="s">
        <v>2577</v>
      </c>
      <c r="C10" s="173">
        <v>0.95</v>
      </c>
      <c r="D10" s="173">
        <v>0.95</v>
      </c>
      <c r="E10" s="173">
        <v>0.95</v>
      </c>
      <c r="F10" s="173">
        <v>0.95</v>
      </c>
      <c r="G10" s="173">
        <v>0.95</v>
      </c>
      <c r="H10" s="173">
        <v>0.95</v>
      </c>
      <c r="I10" s="173">
        <v>0.95</v>
      </c>
      <c r="J10" s="173">
        <v>0.95</v>
      </c>
      <c r="K10" s="174" t="s">
        <v>2069</v>
      </c>
      <c r="L10" s="173">
        <v>1.1</v>
      </c>
      <c r="M10" s="173">
        <v>0.15</v>
      </c>
      <c r="N10">
        <v>7</v>
      </c>
      <c r="O10" s="173">
        <v>0.35</v>
      </c>
      <c r="P10">
        <v>-2</v>
      </c>
    </row>
    <row r="11" spans="1:16" ht="12.75">
      <c r="A11">
        <f t="shared" si="0"/>
        <v>8</v>
      </c>
      <c r="B11" s="88" t="s">
        <v>2578</v>
      </c>
      <c r="C11" s="173">
        <v>0.95</v>
      </c>
      <c r="D11" s="173">
        <v>0.95</v>
      </c>
      <c r="E11" s="173">
        <v>0.95</v>
      </c>
      <c r="F11" s="173">
        <v>0.95</v>
      </c>
      <c r="G11" s="173">
        <v>0.95</v>
      </c>
      <c r="H11" s="173">
        <v>0.95</v>
      </c>
      <c r="I11" s="173">
        <v>0.95</v>
      </c>
      <c r="J11" s="173">
        <v>0.95</v>
      </c>
      <c r="K11" s="174" t="s">
        <v>2069</v>
      </c>
      <c r="L11" s="173">
        <v>1.25</v>
      </c>
      <c r="M11" s="173">
        <v>0.15</v>
      </c>
      <c r="N11">
        <v>8</v>
      </c>
      <c r="O11" s="173">
        <v>0.4</v>
      </c>
      <c r="P11">
        <v>-2</v>
      </c>
    </row>
    <row r="12" spans="1:16" ht="12.75">
      <c r="A12">
        <f t="shared" si="0"/>
        <v>9</v>
      </c>
      <c r="B12" s="88" t="s">
        <v>2579</v>
      </c>
      <c r="C12" s="173">
        <v>0.95</v>
      </c>
      <c r="D12" s="173">
        <v>0.95</v>
      </c>
      <c r="E12" s="173">
        <v>0.95</v>
      </c>
      <c r="F12" s="173">
        <v>0.95</v>
      </c>
      <c r="G12" s="173">
        <v>0.95</v>
      </c>
      <c r="H12" s="173">
        <v>0.95</v>
      </c>
      <c r="I12" s="173">
        <v>0.95</v>
      </c>
      <c r="J12" s="173">
        <v>0.95</v>
      </c>
      <c r="K12" s="174" t="s">
        <v>2070</v>
      </c>
      <c r="L12" s="173">
        <v>1.4</v>
      </c>
      <c r="M12" s="173">
        <v>0.15</v>
      </c>
      <c r="N12">
        <v>9</v>
      </c>
      <c r="O12" s="173">
        <v>0.45</v>
      </c>
      <c r="P12">
        <v>-3</v>
      </c>
    </row>
    <row r="13" spans="1:16" ht="12.75">
      <c r="A13">
        <f t="shared" si="0"/>
        <v>10</v>
      </c>
      <c r="B13" s="88" t="s">
        <v>2580</v>
      </c>
      <c r="C13" s="173">
        <v>0.95</v>
      </c>
      <c r="D13" s="173">
        <v>0.95</v>
      </c>
      <c r="E13" s="173">
        <v>0.95</v>
      </c>
      <c r="F13" s="173">
        <v>0.95</v>
      </c>
      <c r="G13" s="173">
        <v>0.95</v>
      </c>
      <c r="H13" s="173">
        <v>0.95</v>
      </c>
      <c r="I13" s="173">
        <v>0.95</v>
      </c>
      <c r="J13" s="173">
        <v>0.95</v>
      </c>
      <c r="K13" s="174" t="s">
        <v>2070</v>
      </c>
      <c r="L13" s="173">
        <v>1.55</v>
      </c>
      <c r="M13" s="173">
        <v>0.15</v>
      </c>
      <c r="N13">
        <v>10</v>
      </c>
      <c r="O13" s="173">
        <v>0.5</v>
      </c>
      <c r="P13">
        <v>-3</v>
      </c>
    </row>
    <row r="14" spans="1:16" ht="12.75">
      <c r="A14">
        <f t="shared" si="0"/>
        <v>11</v>
      </c>
      <c r="B14" s="88" t="s">
        <v>2581</v>
      </c>
      <c r="C14" s="173">
        <v>0.95</v>
      </c>
      <c r="D14" s="173">
        <v>0.95</v>
      </c>
      <c r="E14" s="173">
        <v>0.95</v>
      </c>
      <c r="F14" s="173">
        <v>0.95</v>
      </c>
      <c r="G14" s="173">
        <v>0.95</v>
      </c>
      <c r="H14" s="173">
        <v>0.95</v>
      </c>
      <c r="I14" s="173">
        <v>0.95</v>
      </c>
      <c r="J14" s="173">
        <v>0.95</v>
      </c>
      <c r="K14" s="174" t="s">
        <v>2070</v>
      </c>
      <c r="L14" s="173">
        <v>1.7</v>
      </c>
      <c r="M14" s="173">
        <v>0.15</v>
      </c>
      <c r="N14">
        <v>11</v>
      </c>
      <c r="O14" s="173">
        <v>0.55</v>
      </c>
      <c r="P14">
        <v>-3</v>
      </c>
    </row>
    <row r="15" spans="1:16" ht="12.75">
      <c r="A15">
        <f t="shared" si="0"/>
        <v>12</v>
      </c>
      <c r="B15" s="88" t="s">
        <v>2582</v>
      </c>
      <c r="C15" s="173">
        <v>0.95</v>
      </c>
      <c r="D15" s="173">
        <v>0.95</v>
      </c>
      <c r="E15" s="173">
        <v>0.95</v>
      </c>
      <c r="F15" s="173">
        <v>0.95</v>
      </c>
      <c r="G15" s="173">
        <v>0.95</v>
      </c>
      <c r="H15" s="173">
        <v>0.95</v>
      </c>
      <c r="I15" s="173">
        <v>0.95</v>
      </c>
      <c r="J15" s="173">
        <v>0.95</v>
      </c>
      <c r="K15" s="174" t="s">
        <v>2070</v>
      </c>
      <c r="L15" s="173">
        <v>1.85</v>
      </c>
      <c r="M15" s="173">
        <v>0.15</v>
      </c>
      <c r="N15">
        <v>12</v>
      </c>
      <c r="O15" s="173">
        <v>0.6</v>
      </c>
      <c r="P15">
        <v>-4</v>
      </c>
    </row>
    <row r="16" spans="1:16" ht="12.75">
      <c r="A16">
        <f t="shared" si="0"/>
        <v>13</v>
      </c>
      <c r="B16" s="88" t="s">
        <v>2583</v>
      </c>
      <c r="C16" s="173">
        <v>0.95</v>
      </c>
      <c r="D16" s="173">
        <v>0.95</v>
      </c>
      <c r="E16" s="173">
        <v>0.95</v>
      </c>
      <c r="F16" s="173">
        <v>0.95</v>
      </c>
      <c r="G16" s="173">
        <v>0.95</v>
      </c>
      <c r="H16" s="173">
        <v>0.95</v>
      </c>
      <c r="I16" s="173">
        <v>0.95</v>
      </c>
      <c r="J16" s="173">
        <v>0.95</v>
      </c>
      <c r="K16" s="174" t="s">
        <v>2071</v>
      </c>
      <c r="L16" s="173">
        <v>2</v>
      </c>
      <c r="M16" s="173">
        <v>0.15</v>
      </c>
      <c r="N16">
        <v>13</v>
      </c>
      <c r="O16" s="173">
        <v>0.65</v>
      </c>
      <c r="P16">
        <v>-4</v>
      </c>
    </row>
    <row r="17" spans="1:16" ht="12.75">
      <c r="A17">
        <f t="shared" si="0"/>
        <v>14</v>
      </c>
      <c r="B17" s="88" t="s">
        <v>2584</v>
      </c>
      <c r="C17" s="173">
        <v>0.95</v>
      </c>
      <c r="D17" s="173">
        <v>0.95</v>
      </c>
      <c r="E17" s="173">
        <v>0.95</v>
      </c>
      <c r="F17" s="173">
        <v>0.95</v>
      </c>
      <c r="G17" s="173">
        <v>0.95</v>
      </c>
      <c r="H17" s="173">
        <v>0.95</v>
      </c>
      <c r="I17" s="173">
        <v>0.95</v>
      </c>
      <c r="J17" s="173">
        <v>0.95</v>
      </c>
      <c r="K17" s="174" t="s">
        <v>2071</v>
      </c>
      <c r="L17" s="173">
        <v>2.15</v>
      </c>
      <c r="M17" s="173">
        <v>0.15</v>
      </c>
      <c r="N17">
        <v>14</v>
      </c>
      <c r="O17" s="173">
        <v>0.7</v>
      </c>
      <c r="P17">
        <v>-4</v>
      </c>
    </row>
    <row r="18" spans="1:16" ht="12.75">
      <c r="A18">
        <f t="shared" si="0"/>
        <v>15</v>
      </c>
      <c r="B18" s="88" t="s">
        <v>2585</v>
      </c>
      <c r="C18" s="173">
        <v>0.95</v>
      </c>
      <c r="D18" s="173">
        <v>0.95</v>
      </c>
      <c r="E18" s="173">
        <v>0.95</v>
      </c>
      <c r="F18" s="173">
        <v>0.95</v>
      </c>
      <c r="G18" s="173">
        <v>0.95</v>
      </c>
      <c r="H18" s="173">
        <v>0.95</v>
      </c>
      <c r="I18" s="173">
        <v>0.95</v>
      </c>
      <c r="J18" s="173">
        <v>0.95</v>
      </c>
      <c r="K18" s="174" t="s">
        <v>2071</v>
      </c>
      <c r="L18" s="173">
        <v>2.3</v>
      </c>
      <c r="M18" s="173">
        <v>0.15</v>
      </c>
      <c r="N18">
        <v>15</v>
      </c>
      <c r="O18" s="173">
        <v>0.75</v>
      </c>
      <c r="P18">
        <v>-5</v>
      </c>
    </row>
    <row r="19" spans="1:16" ht="12.75">
      <c r="A19">
        <f t="shared" si="0"/>
        <v>16</v>
      </c>
      <c r="B19" s="88" t="s">
        <v>2586</v>
      </c>
      <c r="C19" s="173">
        <v>0.95</v>
      </c>
      <c r="D19" s="173">
        <v>0.95</v>
      </c>
      <c r="E19" s="173">
        <v>0.95</v>
      </c>
      <c r="F19" s="173">
        <v>0.95</v>
      </c>
      <c r="G19" s="173">
        <v>0.95</v>
      </c>
      <c r="H19" s="173">
        <v>0.95</v>
      </c>
      <c r="I19" s="173">
        <v>0.95</v>
      </c>
      <c r="J19" s="173">
        <v>0.95</v>
      </c>
      <c r="K19" s="174" t="s">
        <v>2071</v>
      </c>
      <c r="L19" s="173">
        <v>2.45</v>
      </c>
      <c r="M19" s="173">
        <v>0.15</v>
      </c>
      <c r="N19">
        <v>16</v>
      </c>
      <c r="O19" s="173">
        <v>0.8</v>
      </c>
      <c r="P19">
        <v>-5</v>
      </c>
    </row>
    <row r="20" spans="1:16" ht="12.75">
      <c r="A20">
        <f t="shared" si="0"/>
        <v>17</v>
      </c>
      <c r="B20" s="88" t="s">
        <v>2587</v>
      </c>
      <c r="C20" s="173">
        <v>0.95</v>
      </c>
      <c r="D20" s="173">
        <v>0.95</v>
      </c>
      <c r="E20" s="173">
        <v>0.95</v>
      </c>
      <c r="F20" s="173">
        <v>0.95</v>
      </c>
      <c r="G20" s="173">
        <v>0.95</v>
      </c>
      <c r="H20" s="173">
        <v>0.95</v>
      </c>
      <c r="I20" s="173">
        <v>0.95</v>
      </c>
      <c r="J20" s="173">
        <v>0.95</v>
      </c>
      <c r="K20" s="174" t="s">
        <v>2071</v>
      </c>
      <c r="L20" s="173">
        <v>2.6</v>
      </c>
      <c r="M20" s="173">
        <v>0.15</v>
      </c>
      <c r="N20">
        <v>17</v>
      </c>
      <c r="O20" s="173">
        <v>0.85</v>
      </c>
      <c r="P20">
        <v>-5</v>
      </c>
    </row>
    <row r="21" spans="1:16" ht="12.75">
      <c r="A21">
        <f t="shared" si="0"/>
        <v>18</v>
      </c>
      <c r="B21" s="88" t="s">
        <v>2588</v>
      </c>
      <c r="C21" s="173">
        <v>0.95</v>
      </c>
      <c r="D21" s="173">
        <v>0.95</v>
      </c>
      <c r="E21" s="173">
        <v>0.95</v>
      </c>
      <c r="F21" s="173">
        <v>0.95</v>
      </c>
      <c r="G21" s="173">
        <v>0.95</v>
      </c>
      <c r="H21" s="173">
        <v>0.95</v>
      </c>
      <c r="I21" s="173">
        <v>0.95</v>
      </c>
      <c r="J21" s="173">
        <v>0.95</v>
      </c>
      <c r="K21" s="174" t="s">
        <v>2071</v>
      </c>
      <c r="L21" s="173">
        <v>2.75</v>
      </c>
      <c r="M21" s="173">
        <v>0.15</v>
      </c>
      <c r="N21">
        <v>18</v>
      </c>
      <c r="O21" s="173">
        <v>0.9</v>
      </c>
      <c r="P21">
        <v>-6</v>
      </c>
    </row>
    <row r="22" spans="1:16" ht="12.75">
      <c r="A22">
        <f t="shared" si="0"/>
        <v>19</v>
      </c>
      <c r="B22" s="88" t="s">
        <v>2589</v>
      </c>
      <c r="C22" s="173">
        <v>0.95</v>
      </c>
      <c r="D22" s="173">
        <v>0.95</v>
      </c>
      <c r="E22" s="173">
        <v>0.95</v>
      </c>
      <c r="F22" s="173">
        <v>0.95</v>
      </c>
      <c r="G22" s="173">
        <v>0.95</v>
      </c>
      <c r="H22" s="173">
        <v>0.95</v>
      </c>
      <c r="I22" s="173">
        <v>0.95</v>
      </c>
      <c r="J22" s="173">
        <v>0.95</v>
      </c>
      <c r="K22" s="174" t="s">
        <v>2071</v>
      </c>
      <c r="L22" s="173">
        <v>2.9</v>
      </c>
      <c r="M22" s="173">
        <v>0.15</v>
      </c>
      <c r="N22">
        <v>19</v>
      </c>
      <c r="O22" s="173">
        <v>0.95</v>
      </c>
      <c r="P22">
        <v>-6</v>
      </c>
    </row>
    <row r="23" spans="1:16" ht="12.75">
      <c r="A23">
        <f t="shared" si="0"/>
        <v>20</v>
      </c>
      <c r="B23" s="88" t="s">
        <v>2590</v>
      </c>
      <c r="C23" s="173">
        <v>0.95</v>
      </c>
      <c r="D23" s="173">
        <v>0.95</v>
      </c>
      <c r="E23" s="173">
        <v>0.95</v>
      </c>
      <c r="F23" s="173">
        <v>0.95</v>
      </c>
      <c r="G23" s="173">
        <v>0.95</v>
      </c>
      <c r="H23" s="173">
        <v>0.95</v>
      </c>
      <c r="I23" s="173">
        <v>0.95</v>
      </c>
      <c r="J23" s="173">
        <v>0.95</v>
      </c>
      <c r="K23" s="174" t="s">
        <v>2071</v>
      </c>
      <c r="L23" s="173">
        <v>3.05</v>
      </c>
      <c r="M23" s="173">
        <v>0.15</v>
      </c>
      <c r="N23">
        <v>20</v>
      </c>
      <c r="O23" s="173">
        <v>1</v>
      </c>
      <c r="P23">
        <v>-6</v>
      </c>
    </row>
    <row r="25" spans="2:10" ht="12.75">
      <c r="B25" t="s">
        <v>177</v>
      </c>
      <c r="C25" s="171" t="s">
        <v>2056</v>
      </c>
      <c r="D25" s="171" t="s">
        <v>2057</v>
      </c>
      <c r="E25" s="171" t="s">
        <v>2058</v>
      </c>
      <c r="F25" s="171" t="s">
        <v>2059</v>
      </c>
      <c r="G25" s="171" t="s">
        <v>2060</v>
      </c>
      <c r="H25" s="171" t="s">
        <v>2061</v>
      </c>
      <c r="I25" s="171" t="s">
        <v>2062</v>
      </c>
      <c r="J25" s="171" t="s">
        <v>2063</v>
      </c>
    </row>
    <row r="26" spans="1:13" ht="12.75">
      <c r="A26">
        <f>A25+1</f>
        <v>1</v>
      </c>
      <c r="B26" t="s">
        <v>180</v>
      </c>
      <c r="C26" s="173">
        <v>0.05</v>
      </c>
      <c r="D26" s="173">
        <v>-0.05</v>
      </c>
      <c r="E26" s="173">
        <v>0</v>
      </c>
      <c r="F26" s="173">
        <v>0.05</v>
      </c>
      <c r="G26" s="173">
        <v>0.1</v>
      </c>
      <c r="H26" s="173">
        <v>0.05</v>
      </c>
      <c r="I26" s="173">
        <v>0</v>
      </c>
      <c r="J26" s="173">
        <v>0</v>
      </c>
      <c r="K26" s="173"/>
      <c r="L26" s="173"/>
      <c r="M26" s="173"/>
    </row>
    <row r="27" spans="1:13" ht="12.75">
      <c r="A27">
        <f aca="true" t="shared" si="1" ref="A27:A32">A26+1</f>
        <v>2</v>
      </c>
      <c r="B27" t="s">
        <v>182</v>
      </c>
      <c r="C27" s="173">
        <v>0</v>
      </c>
      <c r="D27" s="173">
        <v>0.05</v>
      </c>
      <c r="E27" s="173">
        <v>0.1</v>
      </c>
      <c r="F27" s="173">
        <v>0.05</v>
      </c>
      <c r="G27" s="173">
        <v>0.05</v>
      </c>
      <c r="H27" s="173">
        <v>0.1</v>
      </c>
      <c r="I27" s="173">
        <v>-0.15</v>
      </c>
      <c r="J27" s="173">
        <v>0</v>
      </c>
      <c r="K27" s="173"/>
      <c r="L27" s="173"/>
      <c r="M27" s="173"/>
    </row>
    <row r="28" spans="1:13" ht="12.75">
      <c r="A28">
        <f t="shared" si="1"/>
        <v>3</v>
      </c>
      <c r="B28" t="s">
        <v>1314</v>
      </c>
      <c r="C28" s="173">
        <v>0.05</v>
      </c>
      <c r="D28" s="173">
        <v>0</v>
      </c>
      <c r="E28" s="173">
        <v>0.05</v>
      </c>
      <c r="F28" s="173">
        <v>0.05</v>
      </c>
      <c r="G28" s="173">
        <v>0.1</v>
      </c>
      <c r="H28" s="173">
        <v>0.05</v>
      </c>
      <c r="I28" s="173">
        <v>0</v>
      </c>
      <c r="J28" s="173">
        <v>0</v>
      </c>
      <c r="K28" s="173"/>
      <c r="L28" s="173"/>
      <c r="M28" s="173"/>
    </row>
    <row r="29" spans="1:13" ht="12.75">
      <c r="A29">
        <f t="shared" si="1"/>
        <v>4</v>
      </c>
      <c r="B29" t="s">
        <v>181</v>
      </c>
      <c r="C29" s="173">
        <v>0.1</v>
      </c>
      <c r="D29" s="173">
        <v>0</v>
      </c>
      <c r="E29" s="173">
        <v>0</v>
      </c>
      <c r="F29" s="173">
        <v>0</v>
      </c>
      <c r="G29" s="173">
        <v>0.05</v>
      </c>
      <c r="H29" s="173">
        <v>0</v>
      </c>
      <c r="I29" s="173">
        <v>0</v>
      </c>
      <c r="J29" s="173">
        <v>0</v>
      </c>
      <c r="K29" s="173"/>
      <c r="L29" s="173"/>
      <c r="M29" s="173"/>
    </row>
    <row r="30" spans="1:13" ht="12.75">
      <c r="A30">
        <f t="shared" si="1"/>
        <v>5</v>
      </c>
      <c r="B30" t="s">
        <v>183</v>
      </c>
      <c r="C30" s="173">
        <v>0.05</v>
      </c>
      <c r="D30" s="173">
        <v>0.05</v>
      </c>
      <c r="E30" s="173">
        <v>0.05</v>
      </c>
      <c r="F30" s="173">
        <v>0.1</v>
      </c>
      <c r="G30" s="173">
        <v>0.15</v>
      </c>
      <c r="H30" s="173">
        <v>0.05</v>
      </c>
      <c r="I30" s="173">
        <v>-0.15</v>
      </c>
      <c r="J30" s="173">
        <v>-0.05</v>
      </c>
      <c r="K30" s="173"/>
      <c r="L30" s="173"/>
      <c r="M30" s="173"/>
    </row>
    <row r="31" spans="1:13" ht="12.75">
      <c r="A31">
        <f t="shared" si="1"/>
        <v>6</v>
      </c>
      <c r="B31" t="s">
        <v>178</v>
      </c>
      <c r="C31" s="173">
        <v>0</v>
      </c>
      <c r="D31" s="173">
        <v>0</v>
      </c>
      <c r="E31" s="173">
        <v>0</v>
      </c>
      <c r="F31" s="173">
        <v>0</v>
      </c>
      <c r="G31" s="173">
        <v>0</v>
      </c>
      <c r="H31" s="173">
        <v>0</v>
      </c>
      <c r="I31" s="173">
        <v>0</v>
      </c>
      <c r="J31" s="173">
        <v>0</v>
      </c>
      <c r="K31" s="173"/>
      <c r="L31" s="173"/>
      <c r="M31" s="173"/>
    </row>
    <row r="32" spans="1:13" ht="12.75">
      <c r="A32">
        <f t="shared" si="1"/>
        <v>7</v>
      </c>
      <c r="B32" t="s">
        <v>179</v>
      </c>
      <c r="C32" s="173">
        <v>0</v>
      </c>
      <c r="D32" s="173">
        <v>0.1</v>
      </c>
      <c r="E32" s="173">
        <v>0.15</v>
      </c>
      <c r="F32" s="173">
        <v>0</v>
      </c>
      <c r="G32" s="173">
        <v>0</v>
      </c>
      <c r="H32" s="173">
        <v>0</v>
      </c>
      <c r="I32" s="173">
        <v>-0.1</v>
      </c>
      <c r="J32" s="173">
        <v>-0.05</v>
      </c>
      <c r="K32" s="173"/>
      <c r="L32" s="173"/>
      <c r="M32" s="173"/>
    </row>
    <row r="34" spans="2:10" ht="12.75">
      <c r="B34" t="s">
        <v>1876</v>
      </c>
      <c r="C34" s="171" t="s">
        <v>2056</v>
      </c>
      <c r="D34" s="171" t="s">
        <v>2057</v>
      </c>
      <c r="E34" s="171" t="s">
        <v>2058</v>
      </c>
      <c r="F34" s="171" t="s">
        <v>2059</v>
      </c>
      <c r="G34" s="171" t="s">
        <v>2060</v>
      </c>
      <c r="H34" s="171" t="s">
        <v>2061</v>
      </c>
      <c r="I34" s="171" t="s">
        <v>2062</v>
      </c>
      <c r="J34" s="171" t="s">
        <v>2063</v>
      </c>
    </row>
    <row r="35" spans="1:11" ht="12.75">
      <c r="A35">
        <f>A34+1</f>
        <v>1</v>
      </c>
      <c r="B35" t="s">
        <v>2075</v>
      </c>
      <c r="C35" s="173">
        <v>-0.15</v>
      </c>
      <c r="D35" s="173">
        <v>-0.1</v>
      </c>
      <c r="E35" s="173">
        <v>-0.1</v>
      </c>
      <c r="F35" s="173">
        <v>-0.2</v>
      </c>
      <c r="G35" s="173">
        <v>-0.1</v>
      </c>
      <c r="H35" s="173">
        <v>0</v>
      </c>
      <c r="I35" s="173">
        <v>0</v>
      </c>
      <c r="J35" s="173">
        <v>0</v>
      </c>
      <c r="K35">
        <v>9</v>
      </c>
    </row>
    <row r="36" spans="1:11" ht="12.75">
      <c r="A36">
        <f aca="true" t="shared" si="2" ref="A36:A51">A35+1</f>
        <v>2</v>
      </c>
      <c r="B36" t="s">
        <v>2076</v>
      </c>
      <c r="C36" s="173">
        <v>-0.1</v>
      </c>
      <c r="D36" s="173">
        <v>-0.05</v>
      </c>
      <c r="E36" s="173">
        <v>-0.1</v>
      </c>
      <c r="F36" s="173">
        <v>-0.15</v>
      </c>
      <c r="G36" s="173">
        <v>-0.05</v>
      </c>
      <c r="H36" s="173">
        <v>0</v>
      </c>
      <c r="I36" s="173">
        <v>0</v>
      </c>
      <c r="J36" s="173">
        <v>0</v>
      </c>
      <c r="K36">
        <v>10</v>
      </c>
    </row>
    <row r="37" spans="1:11" ht="12.75">
      <c r="A37">
        <f t="shared" si="2"/>
        <v>3</v>
      </c>
      <c r="B37" t="s">
        <v>2077</v>
      </c>
      <c r="C37" s="173">
        <v>-0.05</v>
      </c>
      <c r="D37" s="173">
        <v>0</v>
      </c>
      <c r="E37" s="173">
        <v>-0.05</v>
      </c>
      <c r="F37" s="173">
        <v>-0.1</v>
      </c>
      <c r="G37" s="173">
        <v>0</v>
      </c>
      <c r="H37" s="173">
        <v>0</v>
      </c>
      <c r="I37" s="173">
        <v>0</v>
      </c>
      <c r="J37" s="173">
        <v>0</v>
      </c>
      <c r="K37">
        <v>11</v>
      </c>
    </row>
    <row r="38" spans="1:11" ht="12.75">
      <c r="A38">
        <f t="shared" si="2"/>
        <v>4</v>
      </c>
      <c r="B38" t="s">
        <v>2078</v>
      </c>
      <c r="C38" s="173">
        <v>0</v>
      </c>
      <c r="D38" s="173">
        <v>0</v>
      </c>
      <c r="E38" s="173">
        <v>0</v>
      </c>
      <c r="F38" s="173">
        <v>-0.05</v>
      </c>
      <c r="G38" s="173">
        <v>0</v>
      </c>
      <c r="H38" s="173">
        <v>0</v>
      </c>
      <c r="I38" s="173">
        <v>0</v>
      </c>
      <c r="J38" s="173">
        <v>0</v>
      </c>
      <c r="K38">
        <v>12</v>
      </c>
    </row>
    <row r="39" spans="1:11" ht="12.75">
      <c r="A39">
        <f t="shared" si="2"/>
        <v>5</v>
      </c>
      <c r="B39" t="s">
        <v>2079</v>
      </c>
      <c r="C39" s="173">
        <v>0</v>
      </c>
      <c r="D39" s="173">
        <v>0</v>
      </c>
      <c r="E39" s="173">
        <v>0</v>
      </c>
      <c r="F39" s="173">
        <v>0</v>
      </c>
      <c r="G39" s="173">
        <v>0</v>
      </c>
      <c r="H39" s="173">
        <v>0</v>
      </c>
      <c r="I39" s="173">
        <v>0</v>
      </c>
      <c r="J39" s="173">
        <v>0</v>
      </c>
      <c r="K39">
        <v>13</v>
      </c>
    </row>
    <row r="40" spans="1:11" ht="12.75">
      <c r="A40">
        <f t="shared" si="2"/>
        <v>6</v>
      </c>
      <c r="B40" t="s">
        <v>2080</v>
      </c>
      <c r="C40" s="173">
        <v>0</v>
      </c>
      <c r="D40" s="173">
        <v>0</v>
      </c>
      <c r="E40" s="173">
        <v>0</v>
      </c>
      <c r="F40" s="173">
        <v>0</v>
      </c>
      <c r="G40" s="173">
        <v>0</v>
      </c>
      <c r="H40" s="173">
        <v>0</v>
      </c>
      <c r="I40" s="173">
        <v>0</v>
      </c>
      <c r="J40" s="173">
        <v>0</v>
      </c>
      <c r="K40">
        <v>14</v>
      </c>
    </row>
    <row r="41" spans="1:11" ht="12.75">
      <c r="A41">
        <f t="shared" si="2"/>
        <v>7</v>
      </c>
      <c r="B41" t="s">
        <v>2081</v>
      </c>
      <c r="C41" s="173">
        <v>0</v>
      </c>
      <c r="D41" s="173">
        <v>0</v>
      </c>
      <c r="E41" s="173">
        <v>0</v>
      </c>
      <c r="F41" s="173">
        <v>0</v>
      </c>
      <c r="G41" s="173">
        <v>0</v>
      </c>
      <c r="H41" s="173">
        <v>0</v>
      </c>
      <c r="I41" s="173">
        <v>0</v>
      </c>
      <c r="J41" s="173">
        <v>0</v>
      </c>
      <c r="K41">
        <v>15</v>
      </c>
    </row>
    <row r="42" spans="1:11" ht="12.75">
      <c r="A42">
        <f t="shared" si="2"/>
        <v>8</v>
      </c>
      <c r="B42" t="s">
        <v>2082</v>
      </c>
      <c r="C42" s="173">
        <v>0</v>
      </c>
      <c r="D42" s="173">
        <v>0.05</v>
      </c>
      <c r="E42" s="173">
        <v>0</v>
      </c>
      <c r="F42" s="173">
        <v>0</v>
      </c>
      <c r="G42" s="173">
        <v>0</v>
      </c>
      <c r="H42" s="173">
        <v>0</v>
      </c>
      <c r="I42" s="173">
        <v>0</v>
      </c>
      <c r="J42" s="173">
        <v>0</v>
      </c>
      <c r="K42">
        <v>16</v>
      </c>
    </row>
    <row r="43" spans="1:11" ht="12.75">
      <c r="A43">
        <f t="shared" si="2"/>
        <v>9</v>
      </c>
      <c r="B43" t="s">
        <v>2083</v>
      </c>
      <c r="C43" s="173">
        <v>0.05</v>
      </c>
      <c r="D43" s="173">
        <v>0.1</v>
      </c>
      <c r="E43" s="173">
        <v>0</v>
      </c>
      <c r="F43" s="173">
        <v>0.05</v>
      </c>
      <c r="G43" s="173">
        <v>0.05</v>
      </c>
      <c r="H43" s="173">
        <v>0</v>
      </c>
      <c r="I43" s="173">
        <v>0</v>
      </c>
      <c r="J43" s="173">
        <v>0</v>
      </c>
      <c r="K43">
        <v>17</v>
      </c>
    </row>
    <row r="44" spans="1:11" ht="12.75">
      <c r="A44">
        <f t="shared" si="2"/>
        <v>10</v>
      </c>
      <c r="B44" t="s">
        <v>2084</v>
      </c>
      <c r="C44" s="173">
        <v>0.1</v>
      </c>
      <c r="D44" s="173">
        <v>0.15</v>
      </c>
      <c r="E44" s="173">
        <v>0.05</v>
      </c>
      <c r="F44" s="173">
        <v>0.1</v>
      </c>
      <c r="G44" s="173">
        <v>0.1</v>
      </c>
      <c r="H44" s="173">
        <v>0</v>
      </c>
      <c r="I44" s="173">
        <v>0</v>
      </c>
      <c r="J44" s="173">
        <v>0</v>
      </c>
      <c r="K44">
        <v>18</v>
      </c>
    </row>
    <row r="45" spans="1:11" ht="12.75">
      <c r="A45">
        <f t="shared" si="2"/>
        <v>11</v>
      </c>
      <c r="B45" t="s">
        <v>2085</v>
      </c>
      <c r="C45" s="173">
        <v>0.15</v>
      </c>
      <c r="D45" s="173">
        <v>0.2</v>
      </c>
      <c r="E45" s="173">
        <v>0.1</v>
      </c>
      <c r="F45" s="173">
        <v>0.15</v>
      </c>
      <c r="G45" s="173">
        <v>0.15</v>
      </c>
      <c r="H45" s="173">
        <v>0</v>
      </c>
      <c r="I45" s="173">
        <v>0</v>
      </c>
      <c r="J45" s="173">
        <v>0</v>
      </c>
      <c r="K45">
        <v>19</v>
      </c>
    </row>
    <row r="46" spans="1:11" ht="12.75">
      <c r="A46">
        <f t="shared" si="2"/>
        <v>12</v>
      </c>
      <c r="B46" t="s">
        <v>2086</v>
      </c>
      <c r="C46" s="173">
        <v>0.15</v>
      </c>
      <c r="D46" s="173">
        <v>0.2</v>
      </c>
      <c r="E46" s="173">
        <v>0.1</v>
      </c>
      <c r="F46" s="173">
        <v>0.15</v>
      </c>
      <c r="G46" s="173">
        <v>0.15</v>
      </c>
      <c r="H46" s="173">
        <v>0</v>
      </c>
      <c r="I46" s="173">
        <v>0</v>
      </c>
      <c r="J46" s="173">
        <v>0</v>
      </c>
      <c r="K46">
        <v>20</v>
      </c>
    </row>
    <row r="47" spans="1:11" ht="12.75">
      <c r="A47">
        <f t="shared" si="2"/>
        <v>13</v>
      </c>
      <c r="B47" t="s">
        <v>2087</v>
      </c>
      <c r="C47" s="173">
        <v>0.15</v>
      </c>
      <c r="D47" s="173">
        <v>0.2</v>
      </c>
      <c r="E47" s="173">
        <v>0.1</v>
      </c>
      <c r="F47" s="173">
        <v>0.15</v>
      </c>
      <c r="G47" s="173">
        <v>0.15</v>
      </c>
      <c r="H47" s="173">
        <v>0</v>
      </c>
      <c r="I47" s="173">
        <v>0</v>
      </c>
      <c r="J47" s="173">
        <v>0</v>
      </c>
      <c r="K47">
        <v>21</v>
      </c>
    </row>
    <row r="48" spans="1:11" ht="12.75">
      <c r="A48">
        <f t="shared" si="2"/>
        <v>14</v>
      </c>
      <c r="B48" t="s">
        <v>2088</v>
      </c>
      <c r="C48" s="173">
        <v>0.15</v>
      </c>
      <c r="D48" s="173">
        <v>0.2</v>
      </c>
      <c r="E48" s="173">
        <v>0.1</v>
      </c>
      <c r="F48" s="173">
        <v>0.15</v>
      </c>
      <c r="G48" s="173">
        <v>0.15</v>
      </c>
      <c r="H48" s="173">
        <v>0</v>
      </c>
      <c r="I48" s="173">
        <v>0</v>
      </c>
      <c r="J48" s="173">
        <v>0</v>
      </c>
      <c r="K48">
        <v>22</v>
      </c>
    </row>
    <row r="49" spans="1:11" ht="12.75">
      <c r="A49">
        <f t="shared" si="2"/>
        <v>15</v>
      </c>
      <c r="B49" t="s">
        <v>2105</v>
      </c>
      <c r="C49" s="173">
        <v>0.15</v>
      </c>
      <c r="D49" s="173">
        <v>0.2</v>
      </c>
      <c r="E49" s="173">
        <v>0.1</v>
      </c>
      <c r="F49" s="173">
        <v>0.15</v>
      </c>
      <c r="G49" s="173">
        <v>0.15</v>
      </c>
      <c r="H49" s="173">
        <v>0</v>
      </c>
      <c r="I49" s="173">
        <v>0</v>
      </c>
      <c r="J49" s="173">
        <v>0</v>
      </c>
      <c r="K49">
        <v>23</v>
      </c>
    </row>
    <row r="50" spans="1:11" ht="12.75">
      <c r="A50">
        <f t="shared" si="2"/>
        <v>16</v>
      </c>
      <c r="B50" t="s">
        <v>2106</v>
      </c>
      <c r="C50" s="173">
        <v>0.15</v>
      </c>
      <c r="D50" s="173">
        <v>0.2</v>
      </c>
      <c r="E50" s="173">
        <v>0.1</v>
      </c>
      <c r="F50" s="173">
        <v>0.15</v>
      </c>
      <c r="G50" s="173">
        <v>0.15</v>
      </c>
      <c r="H50" s="173">
        <v>0</v>
      </c>
      <c r="I50" s="173">
        <v>0</v>
      </c>
      <c r="J50" s="173">
        <v>0</v>
      </c>
      <c r="K50">
        <v>24</v>
      </c>
    </row>
    <row r="51" spans="1:11" ht="12.75">
      <c r="A51">
        <f t="shared" si="2"/>
        <v>17</v>
      </c>
      <c r="B51" t="s">
        <v>2107</v>
      </c>
      <c r="C51" s="173">
        <v>0.15</v>
      </c>
      <c r="D51" s="173">
        <v>0.2</v>
      </c>
      <c r="E51" s="173">
        <v>0.1</v>
      </c>
      <c r="F51" s="173">
        <v>0.15</v>
      </c>
      <c r="G51" s="173">
        <v>0.15</v>
      </c>
      <c r="H51" s="173">
        <v>0</v>
      </c>
      <c r="I51" s="173">
        <v>0</v>
      </c>
      <c r="J51" s="173">
        <v>0</v>
      </c>
      <c r="K51">
        <v>25</v>
      </c>
    </row>
    <row r="53" spans="2:10" ht="12.75">
      <c r="B53" t="s">
        <v>313</v>
      </c>
      <c r="C53" s="171" t="s">
        <v>2056</v>
      </c>
      <c r="D53" s="171" t="s">
        <v>2057</v>
      </c>
      <c r="E53" s="171" t="s">
        <v>2058</v>
      </c>
      <c r="F53" s="171" t="s">
        <v>2059</v>
      </c>
      <c r="G53" s="171" t="s">
        <v>2060</v>
      </c>
      <c r="H53" s="171" t="s">
        <v>2061</v>
      </c>
      <c r="I53" s="171" t="s">
        <v>2062</v>
      </c>
      <c r="J53" s="171" t="s">
        <v>2063</v>
      </c>
    </row>
    <row r="54" spans="1:10" ht="12.75">
      <c r="A54">
        <f aca="true" t="shared" si="3" ref="A54:A66">A53+1</f>
        <v>1</v>
      </c>
      <c r="B54" t="s">
        <v>325</v>
      </c>
      <c r="C54" s="173">
        <v>-0.5</v>
      </c>
      <c r="D54" s="173">
        <v>-0.2</v>
      </c>
      <c r="E54" s="173">
        <v>-0.2</v>
      </c>
      <c r="F54" s="173">
        <v>-0.6</v>
      </c>
      <c r="G54" s="173">
        <v>-0.5</v>
      </c>
      <c r="H54" s="173">
        <v>-0.3</v>
      </c>
      <c r="I54" s="173">
        <v>-0.9</v>
      </c>
      <c r="J54" s="173"/>
    </row>
    <row r="55" spans="1:10" ht="12.75">
      <c r="A55">
        <f t="shared" si="3"/>
        <v>2</v>
      </c>
      <c r="B55" t="s">
        <v>317</v>
      </c>
      <c r="C55" s="173">
        <v>-0.3</v>
      </c>
      <c r="D55" s="173">
        <v>-0.1</v>
      </c>
      <c r="E55" s="173">
        <v>-0.1</v>
      </c>
      <c r="F55" s="173">
        <v>-0.2</v>
      </c>
      <c r="G55" s="173">
        <v>-0.2</v>
      </c>
      <c r="H55" s="173">
        <v>-0.1</v>
      </c>
      <c r="I55" s="173">
        <v>-0.3</v>
      </c>
      <c r="J55" s="173">
        <v>0</v>
      </c>
    </row>
    <row r="56" spans="1:10" ht="12.75">
      <c r="A56">
        <f t="shared" si="3"/>
        <v>3</v>
      </c>
      <c r="B56" t="s">
        <v>315</v>
      </c>
      <c r="C56" s="173">
        <v>-0.2</v>
      </c>
      <c r="D56" s="173">
        <v>-0.05</v>
      </c>
      <c r="E56" s="173">
        <v>-0.05</v>
      </c>
      <c r="F56" s="173">
        <v>-0.1</v>
      </c>
      <c r="G56" s="173">
        <v>-0.1</v>
      </c>
      <c r="H56" s="173">
        <v>-0.05</v>
      </c>
      <c r="I56" s="173">
        <v>-0.2</v>
      </c>
      <c r="J56" s="173">
        <v>0</v>
      </c>
    </row>
    <row r="57" spans="1:10" ht="12.75">
      <c r="A57">
        <f t="shared" si="3"/>
        <v>4</v>
      </c>
      <c r="B57" t="s">
        <v>324</v>
      </c>
      <c r="C57" s="173">
        <v>-0.95</v>
      </c>
      <c r="D57" s="173">
        <v>-0.8</v>
      </c>
      <c r="E57" s="173">
        <v>-0.8</v>
      </c>
      <c r="F57" s="173">
        <v>-0.95</v>
      </c>
      <c r="G57" s="173">
        <v>-0.95</v>
      </c>
      <c r="H57" s="173">
        <v>-0.7</v>
      </c>
      <c r="I57" s="173">
        <v>-0.95</v>
      </c>
      <c r="J57" s="173">
        <v>0</v>
      </c>
    </row>
    <row r="58" spans="1:10" ht="12.75">
      <c r="A58">
        <f>A57+1</f>
        <v>5</v>
      </c>
      <c r="B58" t="s">
        <v>314</v>
      </c>
      <c r="C58" s="173">
        <v>0.05</v>
      </c>
      <c r="D58" s="173">
        <v>0</v>
      </c>
      <c r="E58" s="173">
        <v>0</v>
      </c>
      <c r="F58" s="173">
        <v>0.1</v>
      </c>
      <c r="G58" s="173">
        <v>0.05</v>
      </c>
      <c r="H58" s="173">
        <v>0</v>
      </c>
      <c r="I58" s="173">
        <v>0.1</v>
      </c>
      <c r="J58" s="173">
        <v>0</v>
      </c>
    </row>
    <row r="59" spans="1:10" ht="12.75">
      <c r="A59">
        <f t="shared" si="3"/>
        <v>6</v>
      </c>
      <c r="B59" t="s">
        <v>319</v>
      </c>
      <c r="C59" s="173">
        <v>-0.4</v>
      </c>
      <c r="D59" s="173">
        <v>-0.15</v>
      </c>
      <c r="E59" s="173">
        <v>-0.15</v>
      </c>
      <c r="F59" s="173">
        <v>-0.4</v>
      </c>
      <c r="G59" s="173">
        <v>-0.3</v>
      </c>
      <c r="H59" s="173">
        <v>-0.2</v>
      </c>
      <c r="I59" s="173">
        <v>-0.4</v>
      </c>
      <c r="J59" s="173">
        <v>0</v>
      </c>
    </row>
    <row r="60" spans="1:10" ht="12.75">
      <c r="A60">
        <f t="shared" si="3"/>
        <v>7</v>
      </c>
      <c r="B60" t="s">
        <v>322</v>
      </c>
      <c r="C60" s="173">
        <v>-0.4</v>
      </c>
      <c r="D60" s="173">
        <v>-0.15</v>
      </c>
      <c r="E60" s="173">
        <v>-0.25</v>
      </c>
      <c r="F60" s="173">
        <v>-0.4</v>
      </c>
      <c r="G60" s="173">
        <v>-0.3</v>
      </c>
      <c r="H60" s="173">
        <v>-0.25</v>
      </c>
      <c r="I60" s="173">
        <v>-0.5</v>
      </c>
      <c r="J60" s="173">
        <v>0</v>
      </c>
    </row>
    <row r="61" spans="1:10" ht="12.75">
      <c r="A61">
        <f t="shared" si="3"/>
        <v>8</v>
      </c>
      <c r="B61" t="s">
        <v>2089</v>
      </c>
      <c r="C61" s="173">
        <v>0</v>
      </c>
      <c r="D61" s="173">
        <v>0</v>
      </c>
      <c r="E61" s="173">
        <v>0</v>
      </c>
      <c r="F61" s="173">
        <v>0</v>
      </c>
      <c r="G61" s="173">
        <v>0</v>
      </c>
      <c r="H61" s="173">
        <v>0</v>
      </c>
      <c r="I61" s="173">
        <v>0</v>
      </c>
      <c r="J61" s="173">
        <v>0</v>
      </c>
    </row>
    <row r="62" spans="1:10" ht="12.75">
      <c r="A62">
        <f t="shared" si="3"/>
        <v>9</v>
      </c>
      <c r="B62" t="s">
        <v>318</v>
      </c>
      <c r="C62" s="173">
        <v>-0.6</v>
      </c>
      <c r="D62" s="173">
        <v>-0.5</v>
      </c>
      <c r="E62" s="173">
        <v>-0.5</v>
      </c>
      <c r="F62" s="173">
        <v>-0.3</v>
      </c>
      <c r="G62" s="173">
        <v>-0.2</v>
      </c>
      <c r="H62" s="173">
        <v>-0.1</v>
      </c>
      <c r="I62" s="173">
        <v>-0.6</v>
      </c>
      <c r="J62" s="173">
        <v>0</v>
      </c>
    </row>
    <row r="63" spans="1:10" ht="12.75">
      <c r="A63">
        <f t="shared" si="3"/>
        <v>10</v>
      </c>
      <c r="B63" t="s">
        <v>323</v>
      </c>
      <c r="C63" s="173">
        <v>-0.95</v>
      </c>
      <c r="D63" s="173">
        <v>-0.8</v>
      </c>
      <c r="E63" s="173">
        <v>-0.8</v>
      </c>
      <c r="F63" s="173">
        <v>-0.95</v>
      </c>
      <c r="G63" s="173">
        <v>-0.95</v>
      </c>
      <c r="H63" s="173">
        <v>-0.7</v>
      </c>
      <c r="I63" s="173">
        <v>-0.95</v>
      </c>
      <c r="J63" s="173">
        <v>0</v>
      </c>
    </row>
    <row r="64" spans="1:10" ht="12.75">
      <c r="A64">
        <f t="shared" si="3"/>
        <v>11</v>
      </c>
      <c r="B64" t="s">
        <v>320</v>
      </c>
      <c r="C64" s="173">
        <v>-0.4</v>
      </c>
      <c r="D64" s="173">
        <v>-0.15</v>
      </c>
      <c r="E64" s="173">
        <v>-0.15</v>
      </c>
      <c r="F64" s="173">
        <v>-0.4</v>
      </c>
      <c r="G64" s="173">
        <v>-0.3</v>
      </c>
      <c r="H64" s="173">
        <v>-0.2</v>
      </c>
      <c r="I64" s="173">
        <v>-0.4</v>
      </c>
      <c r="J64" s="173">
        <v>0</v>
      </c>
    </row>
    <row r="65" spans="1:10" ht="12.75">
      <c r="A65">
        <f t="shared" si="3"/>
        <v>12</v>
      </c>
      <c r="B65" t="s">
        <v>321</v>
      </c>
      <c r="C65" s="173">
        <v>-0.4</v>
      </c>
      <c r="D65" s="173">
        <v>-0.15</v>
      </c>
      <c r="E65" s="173">
        <v>-0.25</v>
      </c>
      <c r="F65" s="173">
        <v>-0.4</v>
      </c>
      <c r="G65" s="173">
        <v>-0.3</v>
      </c>
      <c r="H65" s="173">
        <v>-0.25</v>
      </c>
      <c r="I65" s="173">
        <v>-0.5</v>
      </c>
      <c r="J65" s="173">
        <v>0</v>
      </c>
    </row>
    <row r="66" spans="1:10" ht="12.75">
      <c r="A66">
        <f t="shared" si="3"/>
        <v>13</v>
      </c>
      <c r="B66" t="s">
        <v>316</v>
      </c>
      <c r="C66" s="173">
        <v>-0.3</v>
      </c>
      <c r="D66" s="173">
        <v>-0.1</v>
      </c>
      <c r="E66" s="173">
        <v>-0.1</v>
      </c>
      <c r="F66" s="173">
        <v>-0.2</v>
      </c>
      <c r="G66" s="173">
        <v>-0.2</v>
      </c>
      <c r="H66" s="173">
        <v>-0.1</v>
      </c>
      <c r="I66" s="173">
        <v>-0.3</v>
      </c>
      <c r="J66" s="173">
        <v>0</v>
      </c>
    </row>
    <row r="68" spans="2:8" ht="12.75">
      <c r="B68" s="75" t="s">
        <v>2483</v>
      </c>
      <c r="C68" s="76" t="s">
        <v>132</v>
      </c>
      <c r="D68" s="76" t="s">
        <v>133</v>
      </c>
      <c r="E68" s="76" t="s">
        <v>134</v>
      </c>
      <c r="F68" s="76" t="s">
        <v>135</v>
      </c>
      <c r="G68" s="76" t="s">
        <v>136</v>
      </c>
      <c r="H68" s="76" t="s">
        <v>1855</v>
      </c>
    </row>
    <row r="69" spans="1:9" ht="12.75">
      <c r="A69">
        <f>A68+1</f>
        <v>1</v>
      </c>
      <c r="B69" s="1">
        <v>13</v>
      </c>
      <c r="C69" s="2" t="s">
        <v>48</v>
      </c>
      <c r="D69" s="2" t="s">
        <v>61</v>
      </c>
      <c r="E69" s="3">
        <v>0.55</v>
      </c>
      <c r="F69" s="2" t="s">
        <v>64</v>
      </c>
      <c r="G69" s="2" t="s">
        <v>2498</v>
      </c>
      <c r="H69" s="2" t="s">
        <v>1848</v>
      </c>
      <c r="I69" t="s">
        <v>2538</v>
      </c>
    </row>
    <row r="70" spans="1:9" ht="12.75">
      <c r="A70">
        <f aca="true" t="shared" si="4" ref="A70:A81">A69+1</f>
        <v>2</v>
      </c>
      <c r="B70" s="1">
        <v>14</v>
      </c>
      <c r="C70" s="2" t="s">
        <v>60</v>
      </c>
      <c r="D70" s="2" t="s">
        <v>62</v>
      </c>
      <c r="E70" s="3">
        <v>0.6</v>
      </c>
      <c r="F70" s="2" t="s">
        <v>64</v>
      </c>
      <c r="G70" s="2" t="s">
        <v>2498</v>
      </c>
      <c r="H70" s="2" t="s">
        <v>1848</v>
      </c>
      <c r="I70" t="s">
        <v>2539</v>
      </c>
    </row>
    <row r="71" spans="1:9" ht="12.75">
      <c r="A71">
        <f t="shared" si="4"/>
        <v>3</v>
      </c>
      <c r="B71" s="1">
        <v>15</v>
      </c>
      <c r="C71" s="2" t="s">
        <v>60</v>
      </c>
      <c r="D71" s="2" t="s">
        <v>62</v>
      </c>
      <c r="E71" s="3">
        <v>0.65</v>
      </c>
      <c r="F71" s="2" t="s">
        <v>51</v>
      </c>
      <c r="G71" s="2" t="s">
        <v>2498</v>
      </c>
      <c r="H71" s="2" t="s">
        <v>1848</v>
      </c>
      <c r="I71" t="s">
        <v>2540</v>
      </c>
    </row>
    <row r="72" spans="1:9" ht="12.75">
      <c r="A72">
        <f t="shared" si="4"/>
        <v>4</v>
      </c>
      <c r="B72" s="1">
        <v>16</v>
      </c>
      <c r="C72" s="2" t="s">
        <v>37</v>
      </c>
      <c r="D72" s="2" t="s">
        <v>63</v>
      </c>
      <c r="E72" s="3">
        <v>0.7</v>
      </c>
      <c r="F72" s="2" t="s">
        <v>51</v>
      </c>
      <c r="G72" s="2" t="s">
        <v>2498</v>
      </c>
      <c r="H72" s="2" t="s">
        <v>1848</v>
      </c>
      <c r="I72" t="s">
        <v>2541</v>
      </c>
    </row>
    <row r="73" spans="1:9" ht="12.75">
      <c r="A73">
        <f t="shared" si="4"/>
        <v>5</v>
      </c>
      <c r="B73" s="1">
        <v>17</v>
      </c>
      <c r="C73" s="2" t="s">
        <v>61</v>
      </c>
      <c r="D73" s="2" t="s">
        <v>63</v>
      </c>
      <c r="E73" s="3">
        <v>0.75</v>
      </c>
      <c r="F73" s="2" t="s">
        <v>72</v>
      </c>
      <c r="G73" s="2" t="s">
        <v>2498</v>
      </c>
      <c r="H73" s="2" t="s">
        <v>1848</v>
      </c>
      <c r="I73" t="s">
        <v>2542</v>
      </c>
    </row>
    <row r="74" spans="1:9" ht="12.75">
      <c r="A74">
        <f t="shared" si="4"/>
        <v>6</v>
      </c>
      <c r="B74" s="1">
        <v>18</v>
      </c>
      <c r="C74" s="2" t="s">
        <v>62</v>
      </c>
      <c r="D74" s="2" t="s">
        <v>64</v>
      </c>
      <c r="E74" s="3">
        <v>0.85</v>
      </c>
      <c r="F74" s="2" t="s">
        <v>138</v>
      </c>
      <c r="G74" s="2" t="s">
        <v>2498</v>
      </c>
      <c r="H74" s="2" t="s">
        <v>1848</v>
      </c>
      <c r="I74" t="s">
        <v>2543</v>
      </c>
    </row>
    <row r="75" spans="1:9" ht="12.75">
      <c r="A75">
        <f t="shared" si="4"/>
        <v>7</v>
      </c>
      <c r="B75" s="4">
        <v>19</v>
      </c>
      <c r="C75" s="2" t="s">
        <v>63</v>
      </c>
      <c r="D75" s="2" t="s">
        <v>64</v>
      </c>
      <c r="E75" s="3">
        <v>0.95</v>
      </c>
      <c r="F75" s="2" t="s">
        <v>139</v>
      </c>
      <c r="G75" s="8" t="s">
        <v>140</v>
      </c>
      <c r="H75" s="2" t="s">
        <v>1848</v>
      </c>
      <c r="I75" t="s">
        <v>2544</v>
      </c>
    </row>
    <row r="76" spans="1:9" ht="12.75">
      <c r="A76">
        <f t="shared" si="4"/>
        <v>8</v>
      </c>
      <c r="B76" s="4">
        <v>20</v>
      </c>
      <c r="C76" s="2" t="s">
        <v>64</v>
      </c>
      <c r="D76" s="2" t="s">
        <v>64</v>
      </c>
      <c r="E76" s="3">
        <v>0.96</v>
      </c>
      <c r="F76" s="2" t="s">
        <v>139</v>
      </c>
      <c r="G76" s="8" t="s">
        <v>141</v>
      </c>
      <c r="H76" s="2" t="s">
        <v>1848</v>
      </c>
      <c r="I76" t="s">
        <v>2545</v>
      </c>
    </row>
    <row r="77" spans="1:9" ht="12.75">
      <c r="A77">
        <f t="shared" si="4"/>
        <v>9</v>
      </c>
      <c r="B77" s="4">
        <v>21</v>
      </c>
      <c r="C77" s="2" t="s">
        <v>38</v>
      </c>
      <c r="D77" s="2" t="s">
        <v>64</v>
      </c>
      <c r="E77" s="3">
        <v>0.97</v>
      </c>
      <c r="F77" s="2" t="s">
        <v>139</v>
      </c>
      <c r="G77" s="8" t="s">
        <v>142</v>
      </c>
      <c r="H77" s="2" t="s">
        <v>1848</v>
      </c>
      <c r="I77" t="s">
        <v>2546</v>
      </c>
    </row>
    <row r="78" spans="1:9" ht="12.75">
      <c r="A78">
        <f t="shared" si="4"/>
        <v>10</v>
      </c>
      <c r="B78" s="4">
        <v>22</v>
      </c>
      <c r="C78" s="2" t="s">
        <v>51</v>
      </c>
      <c r="D78" s="2" t="s">
        <v>64</v>
      </c>
      <c r="E78" s="3">
        <v>0.98</v>
      </c>
      <c r="F78" s="2" t="s">
        <v>139</v>
      </c>
      <c r="G78" s="8" t="s">
        <v>143</v>
      </c>
      <c r="H78" s="2" t="s">
        <v>1848</v>
      </c>
      <c r="I78" t="s">
        <v>2547</v>
      </c>
    </row>
    <row r="79" spans="1:9" ht="12.75">
      <c r="A79">
        <f t="shared" si="4"/>
        <v>11</v>
      </c>
      <c r="B79" s="4">
        <v>23</v>
      </c>
      <c r="C79" s="2" t="s">
        <v>65</v>
      </c>
      <c r="D79" s="2" t="s">
        <v>64</v>
      </c>
      <c r="E79" s="3">
        <v>0.99</v>
      </c>
      <c r="F79" s="2" t="s">
        <v>139</v>
      </c>
      <c r="G79" s="8" t="s">
        <v>144</v>
      </c>
      <c r="H79" s="2" t="s">
        <v>1848</v>
      </c>
      <c r="I79" t="s">
        <v>2548</v>
      </c>
    </row>
    <row r="80" spans="1:9" ht="12.75">
      <c r="A80">
        <f t="shared" si="4"/>
        <v>12</v>
      </c>
      <c r="B80" s="4">
        <v>24</v>
      </c>
      <c r="C80" s="2" t="s">
        <v>68</v>
      </c>
      <c r="D80" s="2" t="s">
        <v>64</v>
      </c>
      <c r="E80" s="3">
        <v>1</v>
      </c>
      <c r="F80" s="2" t="s">
        <v>139</v>
      </c>
      <c r="G80" s="8" t="s">
        <v>145</v>
      </c>
      <c r="H80" s="2" t="s">
        <v>1848</v>
      </c>
      <c r="I80" t="s">
        <v>2549</v>
      </c>
    </row>
    <row r="81" spans="1:9" ht="12.75">
      <c r="A81">
        <f t="shared" si="4"/>
        <v>13</v>
      </c>
      <c r="B81" s="4">
        <v>25</v>
      </c>
      <c r="C81" s="2" t="s">
        <v>39</v>
      </c>
      <c r="D81" s="2" t="s">
        <v>64</v>
      </c>
      <c r="E81" s="3">
        <v>1</v>
      </c>
      <c r="F81" s="2" t="s">
        <v>139</v>
      </c>
      <c r="G81" s="8" t="s">
        <v>146</v>
      </c>
      <c r="H81" s="2" t="s">
        <v>1848</v>
      </c>
      <c r="I81" t="s">
        <v>2550</v>
      </c>
    </row>
    <row r="83" spans="1:7" ht="12.75">
      <c r="A83" t="s">
        <v>275</v>
      </c>
      <c r="B83" t="s">
        <v>2591</v>
      </c>
      <c r="C83" t="s">
        <v>2592</v>
      </c>
      <c r="D83" t="s">
        <v>2593</v>
      </c>
      <c r="E83" t="s">
        <v>2594</v>
      </c>
      <c r="F83" t="s">
        <v>2595</v>
      </c>
      <c r="G83" t="s">
        <v>2596</v>
      </c>
    </row>
    <row r="84" spans="1:7" ht="12.75">
      <c r="A84">
        <v>1</v>
      </c>
      <c r="B84">
        <v>0</v>
      </c>
      <c r="C84">
        <v>0</v>
      </c>
      <c r="D84">
        <v>0</v>
      </c>
      <c r="E84">
        <v>0</v>
      </c>
      <c r="F84">
        <v>0</v>
      </c>
      <c r="G84">
        <v>0</v>
      </c>
    </row>
    <row r="85" spans="1:7" ht="12.75">
      <c r="A85">
        <v>2</v>
      </c>
      <c r="B85">
        <v>1</v>
      </c>
      <c r="C85">
        <v>0</v>
      </c>
      <c r="D85">
        <v>0</v>
      </c>
      <c r="E85">
        <v>0</v>
      </c>
      <c r="F85">
        <v>0</v>
      </c>
      <c r="G85">
        <v>0</v>
      </c>
    </row>
    <row r="86" spans="1:7" ht="12.75">
      <c r="A86">
        <v>3</v>
      </c>
      <c r="B86">
        <v>2</v>
      </c>
      <c r="C86">
        <v>0</v>
      </c>
      <c r="D86">
        <v>0</v>
      </c>
      <c r="E86">
        <v>0</v>
      </c>
      <c r="F86">
        <v>0</v>
      </c>
      <c r="G86">
        <v>0</v>
      </c>
    </row>
    <row r="87" spans="1:7" ht="12.75">
      <c r="A87">
        <v>4</v>
      </c>
      <c r="B87">
        <v>2</v>
      </c>
      <c r="C87">
        <v>1</v>
      </c>
      <c r="D87">
        <v>0</v>
      </c>
      <c r="E87">
        <v>0</v>
      </c>
      <c r="F87">
        <v>0</v>
      </c>
      <c r="G87">
        <v>0</v>
      </c>
    </row>
    <row r="88" spans="1:7" ht="12.75">
      <c r="A88">
        <v>5</v>
      </c>
      <c r="B88">
        <v>3</v>
      </c>
      <c r="C88">
        <v>1</v>
      </c>
      <c r="D88">
        <v>0</v>
      </c>
      <c r="E88">
        <v>0</v>
      </c>
      <c r="F88">
        <v>0</v>
      </c>
      <c r="G88">
        <v>0</v>
      </c>
    </row>
    <row r="89" spans="1:7" ht="12.75">
      <c r="A89">
        <v>6</v>
      </c>
      <c r="B89">
        <v>3</v>
      </c>
      <c r="C89">
        <v>2</v>
      </c>
      <c r="D89">
        <v>0</v>
      </c>
      <c r="E89">
        <v>0</v>
      </c>
      <c r="F89">
        <v>0</v>
      </c>
      <c r="G89">
        <v>0</v>
      </c>
    </row>
    <row r="90" spans="1:7" ht="12.75">
      <c r="A90">
        <v>7</v>
      </c>
      <c r="B90">
        <v>3</v>
      </c>
      <c r="C90">
        <v>2</v>
      </c>
      <c r="D90">
        <v>1</v>
      </c>
      <c r="E90">
        <v>0</v>
      </c>
      <c r="F90">
        <v>0</v>
      </c>
      <c r="G90">
        <v>0</v>
      </c>
    </row>
    <row r="91" spans="1:7" ht="12.75">
      <c r="A91">
        <v>8</v>
      </c>
      <c r="B91">
        <v>3</v>
      </c>
      <c r="C91">
        <v>3</v>
      </c>
      <c r="D91">
        <v>1</v>
      </c>
      <c r="E91">
        <v>0</v>
      </c>
      <c r="F91">
        <v>0</v>
      </c>
      <c r="G91">
        <v>0</v>
      </c>
    </row>
    <row r="92" spans="1:7" ht="12.75">
      <c r="A92">
        <v>9</v>
      </c>
      <c r="B92">
        <v>3</v>
      </c>
      <c r="C92">
        <v>3</v>
      </c>
      <c r="D92">
        <v>2</v>
      </c>
      <c r="E92">
        <v>0</v>
      </c>
      <c r="F92">
        <v>0</v>
      </c>
      <c r="G92">
        <v>0</v>
      </c>
    </row>
    <row r="93" spans="1:7" ht="12.75">
      <c r="A93">
        <v>10</v>
      </c>
      <c r="B93">
        <v>3</v>
      </c>
      <c r="C93">
        <v>3</v>
      </c>
      <c r="D93">
        <v>2</v>
      </c>
      <c r="E93">
        <v>1</v>
      </c>
      <c r="F93">
        <v>0</v>
      </c>
      <c r="G93">
        <v>0</v>
      </c>
    </row>
    <row r="94" spans="1:7" ht="12.75">
      <c r="A94">
        <v>11</v>
      </c>
      <c r="B94">
        <v>3</v>
      </c>
      <c r="C94">
        <v>3</v>
      </c>
      <c r="D94">
        <v>3</v>
      </c>
      <c r="E94">
        <v>1</v>
      </c>
      <c r="F94">
        <v>0</v>
      </c>
      <c r="G94">
        <v>0</v>
      </c>
    </row>
    <row r="95" spans="1:7" ht="12.75">
      <c r="A95">
        <v>12</v>
      </c>
      <c r="B95">
        <v>3</v>
      </c>
      <c r="C95">
        <v>3</v>
      </c>
      <c r="D95">
        <v>3</v>
      </c>
      <c r="E95">
        <v>2</v>
      </c>
      <c r="F95">
        <v>0</v>
      </c>
      <c r="G95">
        <v>0</v>
      </c>
    </row>
    <row r="96" spans="1:7" ht="12.75">
      <c r="A96">
        <v>13</v>
      </c>
      <c r="B96">
        <v>3</v>
      </c>
      <c r="C96">
        <v>3</v>
      </c>
      <c r="D96">
        <v>3</v>
      </c>
      <c r="E96">
        <v>2</v>
      </c>
      <c r="F96">
        <v>1</v>
      </c>
      <c r="G96">
        <v>0</v>
      </c>
    </row>
    <row r="97" spans="1:7" ht="12.75">
      <c r="A97">
        <v>14</v>
      </c>
      <c r="B97">
        <v>3</v>
      </c>
      <c r="C97">
        <v>3</v>
      </c>
      <c r="D97">
        <v>3</v>
      </c>
      <c r="E97">
        <v>3</v>
      </c>
      <c r="F97">
        <v>1</v>
      </c>
      <c r="G97">
        <v>0</v>
      </c>
    </row>
    <row r="98" spans="1:7" ht="12.75">
      <c r="A98">
        <v>15</v>
      </c>
      <c r="B98">
        <v>3</v>
      </c>
      <c r="C98">
        <v>3</v>
      </c>
      <c r="D98">
        <v>3</v>
      </c>
      <c r="E98">
        <v>3</v>
      </c>
      <c r="F98">
        <v>2</v>
      </c>
      <c r="G98">
        <v>0</v>
      </c>
    </row>
    <row r="99" spans="1:7" ht="12.75">
      <c r="A99">
        <v>16</v>
      </c>
      <c r="B99">
        <v>4</v>
      </c>
      <c r="C99">
        <v>3</v>
      </c>
      <c r="D99">
        <v>3</v>
      </c>
      <c r="E99">
        <v>3</v>
      </c>
      <c r="F99">
        <v>2</v>
      </c>
      <c r="G99">
        <v>1</v>
      </c>
    </row>
    <row r="100" spans="1:7" ht="12.75">
      <c r="A100">
        <v>17</v>
      </c>
      <c r="B100">
        <v>4</v>
      </c>
      <c r="C100">
        <v>4</v>
      </c>
      <c r="D100">
        <v>3</v>
      </c>
      <c r="E100">
        <v>3</v>
      </c>
      <c r="F100">
        <v>3</v>
      </c>
      <c r="G100">
        <v>1</v>
      </c>
    </row>
    <row r="101" spans="1:7" ht="12.75">
      <c r="A101">
        <v>18</v>
      </c>
      <c r="B101">
        <v>4</v>
      </c>
      <c r="C101">
        <v>4</v>
      </c>
      <c r="D101">
        <v>4</v>
      </c>
      <c r="E101">
        <v>3</v>
      </c>
      <c r="F101">
        <v>3</v>
      </c>
      <c r="G101">
        <v>2</v>
      </c>
    </row>
    <row r="102" spans="1:7" ht="12.75">
      <c r="A102">
        <v>19</v>
      </c>
      <c r="B102">
        <v>4</v>
      </c>
      <c r="C102">
        <v>4</v>
      </c>
      <c r="D102">
        <v>4</v>
      </c>
      <c r="E102">
        <v>4</v>
      </c>
      <c r="F102">
        <v>3</v>
      </c>
      <c r="G102">
        <v>2</v>
      </c>
    </row>
    <row r="103" spans="1:7" ht="12.75">
      <c r="A103">
        <v>20</v>
      </c>
      <c r="B103">
        <v>4</v>
      </c>
      <c r="C103">
        <v>4</v>
      </c>
      <c r="D103">
        <v>4</v>
      </c>
      <c r="E103">
        <v>4</v>
      </c>
      <c r="F103">
        <v>4</v>
      </c>
      <c r="G103">
        <v>3</v>
      </c>
    </row>
  </sheetData>
  <sheetProtection password="C795" sheet="1" objects="1" scenarios="1"/>
  <printOptions/>
  <pageMargins left="0.75" right="0.75" top="1" bottom="1"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Tabelle16"/>
  <dimension ref="A2:N66"/>
  <sheetViews>
    <sheetView workbookViewId="0" topLeftCell="A1">
      <selection activeCell="B4" sqref="B4"/>
    </sheetView>
  </sheetViews>
  <sheetFormatPr defaultColWidth="11.421875" defaultRowHeight="12.75"/>
  <cols>
    <col min="1" max="1" width="4.421875" style="0" customWidth="1"/>
    <col min="2" max="2" width="18.140625" style="0" customWidth="1"/>
    <col min="3" max="4" width="12.7109375" style="0" bestFit="1" customWidth="1"/>
    <col min="5" max="5" width="19.140625" style="0" bestFit="1" customWidth="1"/>
    <col min="6" max="6" width="10.140625" style="0" customWidth="1"/>
    <col min="7" max="7" width="16.8515625" style="0" bestFit="1" customWidth="1"/>
    <col min="8" max="8" width="12.421875" style="0" bestFit="1" customWidth="1"/>
    <col min="9" max="9" width="12.7109375" style="0" bestFit="1" customWidth="1"/>
    <col min="10" max="10" width="10.28125" style="0" customWidth="1"/>
    <col min="11" max="11" width="7.421875" style="0" customWidth="1"/>
    <col min="12" max="12" width="8.28125" style="0" customWidth="1"/>
    <col min="13" max="13" width="11.140625" style="0" customWidth="1"/>
    <col min="14" max="14" width="4.7109375" style="0" customWidth="1"/>
  </cols>
  <sheetData>
    <row r="2" spans="3:14" s="171" customFormat="1" ht="8.25">
      <c r="C2" s="171" t="s">
        <v>2056</v>
      </c>
      <c r="D2" s="171" t="s">
        <v>2057</v>
      </c>
      <c r="E2" s="171" t="s">
        <v>2058</v>
      </c>
      <c r="F2" s="171" t="s">
        <v>2059</v>
      </c>
      <c r="G2" s="171" t="s">
        <v>2060</v>
      </c>
      <c r="H2" s="171" t="s">
        <v>2061</v>
      </c>
      <c r="I2" s="171" t="s">
        <v>2062</v>
      </c>
      <c r="J2" s="171" t="s">
        <v>2063</v>
      </c>
      <c r="K2" s="171" t="s">
        <v>2067</v>
      </c>
      <c r="L2" s="171" t="s">
        <v>2065</v>
      </c>
      <c r="M2" s="171" t="s">
        <v>2066</v>
      </c>
      <c r="N2" s="171" t="s">
        <v>2073</v>
      </c>
    </row>
    <row r="3" spans="2:11" ht="12.75">
      <c r="B3" t="s">
        <v>2064</v>
      </c>
      <c r="C3" s="172">
        <v>0.15</v>
      </c>
      <c r="D3" s="172">
        <v>0.1</v>
      </c>
      <c r="E3" s="172">
        <v>0.05</v>
      </c>
      <c r="F3" s="172">
        <v>0.1</v>
      </c>
      <c r="G3" s="172">
        <v>0.05</v>
      </c>
      <c r="H3" s="172">
        <v>0.15</v>
      </c>
      <c r="I3" s="172">
        <v>0.6</v>
      </c>
      <c r="J3" s="172">
        <v>0</v>
      </c>
      <c r="K3" s="174" t="s">
        <v>2068</v>
      </c>
    </row>
    <row r="4" spans="1:14" ht="12.75">
      <c r="A4">
        <f>A3+1</f>
        <v>1</v>
      </c>
      <c r="B4" s="88" t="s">
        <v>2551</v>
      </c>
      <c r="C4" s="173">
        <f>M4</f>
        <v>0.3</v>
      </c>
      <c r="D4" s="173">
        <f>M4</f>
        <v>0.3</v>
      </c>
      <c r="E4" s="173">
        <f>M4</f>
        <v>0.3</v>
      </c>
      <c r="F4" s="173">
        <f>M4</f>
        <v>0.3</v>
      </c>
      <c r="G4" s="173">
        <f>M4</f>
        <v>0.3</v>
      </c>
      <c r="H4" s="173">
        <f>M4</f>
        <v>0.3</v>
      </c>
      <c r="I4" s="173">
        <f>M4</f>
        <v>0.3</v>
      </c>
      <c r="J4" s="173">
        <f>M4</f>
        <v>0.3</v>
      </c>
      <c r="K4" s="174" t="s">
        <v>2068</v>
      </c>
      <c r="L4" s="173">
        <v>0.6</v>
      </c>
      <c r="M4" s="173">
        <v>0.3</v>
      </c>
      <c r="N4">
        <v>1</v>
      </c>
    </row>
    <row r="5" spans="1:14" ht="12.75">
      <c r="A5">
        <f>A4+1</f>
        <v>2</v>
      </c>
      <c r="B5" s="88" t="s">
        <v>2552</v>
      </c>
      <c r="C5" s="173">
        <f>C4+M5</f>
        <v>0.44999999999999996</v>
      </c>
      <c r="D5" s="173">
        <f>D4+M5</f>
        <v>0.44999999999999996</v>
      </c>
      <c r="E5" s="173">
        <f>E4+M5</f>
        <v>0.44999999999999996</v>
      </c>
      <c r="F5" s="173">
        <f>F4+M5</f>
        <v>0.44999999999999996</v>
      </c>
      <c r="G5" s="173">
        <f>G4+M5</f>
        <v>0.44999999999999996</v>
      </c>
      <c r="H5" s="173">
        <f>H4+M5</f>
        <v>0.44999999999999996</v>
      </c>
      <c r="I5" s="173">
        <f>I4+M5</f>
        <v>0.44999999999999996</v>
      </c>
      <c r="J5" s="173">
        <f>J4+M5</f>
        <v>0.44999999999999996</v>
      </c>
      <c r="K5" s="174" t="s">
        <v>2068</v>
      </c>
      <c r="L5" s="173">
        <v>0.9</v>
      </c>
      <c r="M5" s="173">
        <v>0.15</v>
      </c>
      <c r="N5">
        <v>2</v>
      </c>
    </row>
    <row r="6" spans="1:14" ht="12.75">
      <c r="A6">
        <f aca="true" t="shared" si="0" ref="A6:A23">A5+1</f>
        <v>3</v>
      </c>
      <c r="B6" s="88" t="s">
        <v>2553</v>
      </c>
      <c r="C6" s="173">
        <f>C5+M6</f>
        <v>0.6</v>
      </c>
      <c r="D6" s="173">
        <f>D5+M6</f>
        <v>0.6</v>
      </c>
      <c r="E6" s="173">
        <f>E5+M6</f>
        <v>0.6</v>
      </c>
      <c r="F6" s="173">
        <f>F5+M6</f>
        <v>0.6</v>
      </c>
      <c r="G6" s="173">
        <f>G5+M6</f>
        <v>0.6</v>
      </c>
      <c r="H6" s="173">
        <f>H5+M6</f>
        <v>0.6</v>
      </c>
      <c r="I6" s="173">
        <f>I5+M6</f>
        <v>0.6</v>
      </c>
      <c r="J6" s="173">
        <f>J5+M6</f>
        <v>0.6</v>
      </c>
      <c r="K6" s="174" t="s">
        <v>2068</v>
      </c>
      <c r="L6" s="173">
        <v>1.2</v>
      </c>
      <c r="M6" s="173">
        <v>0.15</v>
      </c>
      <c r="N6">
        <v>3</v>
      </c>
    </row>
    <row r="7" spans="1:14" ht="12.75">
      <c r="A7">
        <f t="shared" si="0"/>
        <v>4</v>
      </c>
      <c r="B7" s="88" t="s">
        <v>2554</v>
      </c>
      <c r="C7" s="173">
        <f>C6+M7</f>
        <v>0.75</v>
      </c>
      <c r="D7" s="173">
        <f>D6+M7</f>
        <v>0.75</v>
      </c>
      <c r="E7" s="173">
        <f>E6+M7</f>
        <v>0.75</v>
      </c>
      <c r="F7" s="173">
        <f>F6+M7</f>
        <v>0.75</v>
      </c>
      <c r="G7" s="173">
        <f>G6+M7</f>
        <v>0.75</v>
      </c>
      <c r="H7" s="173">
        <f>H6+M7</f>
        <v>0.75</v>
      </c>
      <c r="I7" s="173">
        <f>I6+M7</f>
        <v>0.75</v>
      </c>
      <c r="J7" s="173">
        <f>J6+M7</f>
        <v>0.75</v>
      </c>
      <c r="K7" s="174" t="s">
        <v>2068</v>
      </c>
      <c r="L7" s="173">
        <v>1.5</v>
      </c>
      <c r="M7" s="173">
        <v>0.15</v>
      </c>
      <c r="N7">
        <v>4</v>
      </c>
    </row>
    <row r="8" spans="1:14" ht="12.75">
      <c r="A8">
        <f t="shared" si="0"/>
        <v>5</v>
      </c>
      <c r="B8" s="88" t="s">
        <v>2555</v>
      </c>
      <c r="C8" s="173">
        <f>C7+M8</f>
        <v>0.9</v>
      </c>
      <c r="D8" s="173">
        <f>D7+M8</f>
        <v>0.9</v>
      </c>
      <c r="E8" s="173">
        <f>E7+M8</f>
        <v>0.9</v>
      </c>
      <c r="F8" s="173">
        <f>F7+M8</f>
        <v>0.9</v>
      </c>
      <c r="G8" s="173">
        <f>G7+M8</f>
        <v>0.9</v>
      </c>
      <c r="H8" s="173">
        <f>H7+M8</f>
        <v>0.9</v>
      </c>
      <c r="I8" s="173">
        <f>I7+M8</f>
        <v>0.9</v>
      </c>
      <c r="J8" s="173">
        <f>J7+M8</f>
        <v>0.9</v>
      </c>
      <c r="K8" s="174" t="s">
        <v>2069</v>
      </c>
      <c r="L8" s="173">
        <v>1.8</v>
      </c>
      <c r="M8" s="173">
        <v>0.15</v>
      </c>
      <c r="N8">
        <v>5</v>
      </c>
    </row>
    <row r="9" spans="1:14" ht="12.75">
      <c r="A9">
        <f t="shared" si="0"/>
        <v>6</v>
      </c>
      <c r="B9" s="88" t="s">
        <v>2556</v>
      </c>
      <c r="C9" s="173">
        <v>0.95</v>
      </c>
      <c r="D9" s="173">
        <v>0.95</v>
      </c>
      <c r="E9" s="173">
        <v>0.95</v>
      </c>
      <c r="F9" s="173">
        <v>0.95</v>
      </c>
      <c r="G9" s="173">
        <v>0.95</v>
      </c>
      <c r="H9" s="173">
        <v>0.95</v>
      </c>
      <c r="I9" s="173">
        <v>0.95</v>
      </c>
      <c r="J9" s="173">
        <v>0.95</v>
      </c>
      <c r="K9" s="174" t="s">
        <v>2069</v>
      </c>
      <c r="L9" s="173">
        <v>2.1</v>
      </c>
      <c r="M9" s="173">
        <v>0.15</v>
      </c>
      <c r="N9">
        <v>6</v>
      </c>
    </row>
    <row r="10" spans="1:14" ht="12.75">
      <c r="A10">
        <f t="shared" si="0"/>
        <v>7</v>
      </c>
      <c r="B10" s="88" t="s">
        <v>2557</v>
      </c>
      <c r="C10" s="173">
        <v>0.95</v>
      </c>
      <c r="D10" s="173">
        <v>0.95</v>
      </c>
      <c r="E10" s="173">
        <v>0.95</v>
      </c>
      <c r="F10" s="173">
        <v>0.95</v>
      </c>
      <c r="G10" s="173">
        <v>0.95</v>
      </c>
      <c r="H10" s="173">
        <v>0.95</v>
      </c>
      <c r="I10" s="173">
        <v>0.95</v>
      </c>
      <c r="J10" s="173">
        <v>0.95</v>
      </c>
      <c r="K10" s="174" t="s">
        <v>2069</v>
      </c>
      <c r="L10" s="173">
        <v>2.4</v>
      </c>
      <c r="M10" s="173">
        <v>0.15</v>
      </c>
      <c r="N10">
        <v>7</v>
      </c>
    </row>
    <row r="11" spans="1:14" ht="12.75">
      <c r="A11">
        <f t="shared" si="0"/>
        <v>8</v>
      </c>
      <c r="B11" s="88" t="s">
        <v>2558</v>
      </c>
      <c r="C11" s="173">
        <v>0.95</v>
      </c>
      <c r="D11" s="173">
        <v>0.95</v>
      </c>
      <c r="E11" s="173">
        <v>0.95</v>
      </c>
      <c r="F11" s="173">
        <v>0.95</v>
      </c>
      <c r="G11" s="173">
        <v>0.95</v>
      </c>
      <c r="H11" s="173">
        <v>0.95</v>
      </c>
      <c r="I11" s="173">
        <v>0.95</v>
      </c>
      <c r="J11" s="173">
        <v>0.95</v>
      </c>
      <c r="K11" s="174" t="s">
        <v>2069</v>
      </c>
      <c r="L11" s="173">
        <v>2.7</v>
      </c>
      <c r="M11" s="173">
        <v>0.15</v>
      </c>
      <c r="N11">
        <v>8</v>
      </c>
    </row>
    <row r="12" spans="1:14" ht="12.75">
      <c r="A12">
        <f t="shared" si="0"/>
        <v>9</v>
      </c>
      <c r="B12" s="88" t="s">
        <v>2559</v>
      </c>
      <c r="C12" s="173">
        <v>0.95</v>
      </c>
      <c r="D12" s="173">
        <v>0.95</v>
      </c>
      <c r="E12" s="173">
        <v>0.95</v>
      </c>
      <c r="F12" s="173">
        <v>0.95</v>
      </c>
      <c r="G12" s="173">
        <v>0.95</v>
      </c>
      <c r="H12" s="173">
        <v>0.95</v>
      </c>
      <c r="I12" s="173">
        <v>0.95</v>
      </c>
      <c r="J12" s="173">
        <v>0.95</v>
      </c>
      <c r="K12" s="174" t="s">
        <v>2070</v>
      </c>
      <c r="L12" s="173">
        <v>3</v>
      </c>
      <c r="M12" s="173">
        <v>0.15</v>
      </c>
      <c r="N12">
        <v>9</v>
      </c>
    </row>
    <row r="13" spans="1:14" ht="12.75">
      <c r="A13">
        <f t="shared" si="0"/>
        <v>10</v>
      </c>
      <c r="B13" s="88" t="s">
        <v>2560</v>
      </c>
      <c r="C13" s="173">
        <v>0.95</v>
      </c>
      <c r="D13" s="173">
        <v>0.95</v>
      </c>
      <c r="E13" s="173">
        <v>0.95</v>
      </c>
      <c r="F13" s="173">
        <v>0.95</v>
      </c>
      <c r="G13" s="173">
        <v>0.95</v>
      </c>
      <c r="H13" s="173">
        <v>0.95</v>
      </c>
      <c r="I13" s="173">
        <v>0.95</v>
      </c>
      <c r="J13" s="173">
        <v>0.95</v>
      </c>
      <c r="K13" s="174" t="s">
        <v>2070</v>
      </c>
      <c r="L13" s="173">
        <v>3.3</v>
      </c>
      <c r="M13" s="173">
        <v>0.15</v>
      </c>
      <c r="N13">
        <v>10</v>
      </c>
    </row>
    <row r="14" spans="1:14" ht="12.75">
      <c r="A14">
        <f t="shared" si="0"/>
        <v>11</v>
      </c>
      <c r="B14" s="88" t="s">
        <v>2561</v>
      </c>
      <c r="C14" s="173">
        <v>0.95</v>
      </c>
      <c r="D14" s="173">
        <v>0.95</v>
      </c>
      <c r="E14" s="173">
        <v>0.95</v>
      </c>
      <c r="F14" s="173">
        <v>0.95</v>
      </c>
      <c r="G14" s="173">
        <v>0.95</v>
      </c>
      <c r="H14" s="173">
        <v>0.95</v>
      </c>
      <c r="I14" s="173">
        <v>0.95</v>
      </c>
      <c r="J14" s="173">
        <v>0.95</v>
      </c>
      <c r="K14" s="174" t="s">
        <v>2070</v>
      </c>
      <c r="L14" s="173">
        <v>3.6</v>
      </c>
      <c r="M14" s="173">
        <v>0.15</v>
      </c>
      <c r="N14">
        <v>11</v>
      </c>
    </row>
    <row r="15" spans="1:14" ht="12.75">
      <c r="A15">
        <f t="shared" si="0"/>
        <v>12</v>
      </c>
      <c r="B15" s="88" t="s">
        <v>2562</v>
      </c>
      <c r="C15" s="173">
        <v>0.95</v>
      </c>
      <c r="D15" s="173">
        <v>0.95</v>
      </c>
      <c r="E15" s="173">
        <v>0.95</v>
      </c>
      <c r="F15" s="173">
        <v>0.95</v>
      </c>
      <c r="G15" s="173">
        <v>0.95</v>
      </c>
      <c r="H15" s="173">
        <v>0.95</v>
      </c>
      <c r="I15" s="173">
        <v>0.95</v>
      </c>
      <c r="J15" s="173">
        <v>0.95</v>
      </c>
      <c r="K15" s="174" t="s">
        <v>2070</v>
      </c>
      <c r="L15" s="173">
        <v>3.9</v>
      </c>
      <c r="M15" s="173">
        <v>0.15</v>
      </c>
      <c r="N15">
        <v>12</v>
      </c>
    </row>
    <row r="16" spans="1:14" ht="12.75">
      <c r="A16">
        <f t="shared" si="0"/>
        <v>13</v>
      </c>
      <c r="B16" s="88" t="s">
        <v>2563</v>
      </c>
      <c r="C16" s="173">
        <v>0.95</v>
      </c>
      <c r="D16" s="173">
        <v>0.95</v>
      </c>
      <c r="E16" s="173">
        <v>0.95</v>
      </c>
      <c r="F16" s="173">
        <v>0.95</v>
      </c>
      <c r="G16" s="173">
        <v>0.95</v>
      </c>
      <c r="H16" s="173">
        <v>0.95</v>
      </c>
      <c r="I16" s="173">
        <v>0.95</v>
      </c>
      <c r="J16" s="173">
        <v>0.95</v>
      </c>
      <c r="K16" s="174" t="s">
        <v>2071</v>
      </c>
      <c r="L16" s="173">
        <v>4.2</v>
      </c>
      <c r="M16" s="173">
        <v>0.15</v>
      </c>
      <c r="N16">
        <v>13</v>
      </c>
    </row>
    <row r="17" spans="1:14" ht="12.75">
      <c r="A17">
        <f t="shared" si="0"/>
        <v>14</v>
      </c>
      <c r="B17" s="88" t="s">
        <v>2564</v>
      </c>
      <c r="C17" s="173">
        <v>0.95</v>
      </c>
      <c r="D17" s="173">
        <v>0.95</v>
      </c>
      <c r="E17" s="173">
        <v>0.95</v>
      </c>
      <c r="F17" s="173">
        <v>0.95</v>
      </c>
      <c r="G17" s="173">
        <v>0.95</v>
      </c>
      <c r="H17" s="173">
        <v>0.95</v>
      </c>
      <c r="I17" s="173">
        <v>0.95</v>
      </c>
      <c r="J17" s="173">
        <v>0.95</v>
      </c>
      <c r="K17" s="174" t="s">
        <v>2071</v>
      </c>
      <c r="L17" s="173">
        <v>4.5</v>
      </c>
      <c r="M17" s="173">
        <v>0.15</v>
      </c>
      <c r="N17">
        <v>14</v>
      </c>
    </row>
    <row r="18" spans="1:14" ht="12.75">
      <c r="A18">
        <f t="shared" si="0"/>
        <v>15</v>
      </c>
      <c r="B18" s="88" t="s">
        <v>2565</v>
      </c>
      <c r="C18" s="173">
        <v>0.95</v>
      </c>
      <c r="D18" s="173">
        <v>0.95</v>
      </c>
      <c r="E18" s="173">
        <v>0.95</v>
      </c>
      <c r="F18" s="173">
        <v>0.95</v>
      </c>
      <c r="G18" s="173">
        <v>0.95</v>
      </c>
      <c r="H18" s="173">
        <v>0.95</v>
      </c>
      <c r="I18" s="173">
        <v>0.95</v>
      </c>
      <c r="J18" s="173">
        <v>0.95</v>
      </c>
      <c r="K18" s="174" t="s">
        <v>2071</v>
      </c>
      <c r="L18" s="173">
        <v>4.8</v>
      </c>
      <c r="M18" s="173">
        <v>0.15</v>
      </c>
      <c r="N18">
        <v>15</v>
      </c>
    </row>
    <row r="19" spans="1:14" ht="12.75">
      <c r="A19">
        <f t="shared" si="0"/>
        <v>16</v>
      </c>
      <c r="B19" s="88" t="s">
        <v>2566</v>
      </c>
      <c r="C19" s="173">
        <v>0.95</v>
      </c>
      <c r="D19" s="173">
        <v>0.95</v>
      </c>
      <c r="E19" s="173">
        <v>0.95</v>
      </c>
      <c r="F19" s="173">
        <v>0.95</v>
      </c>
      <c r="G19" s="173">
        <v>0.95</v>
      </c>
      <c r="H19" s="173">
        <v>0.95</v>
      </c>
      <c r="I19" s="173">
        <v>0.95</v>
      </c>
      <c r="J19" s="173">
        <v>0.95</v>
      </c>
      <c r="K19" s="174" t="s">
        <v>2071</v>
      </c>
      <c r="L19" s="173">
        <v>5.1</v>
      </c>
      <c r="M19" s="173">
        <v>0.15</v>
      </c>
      <c r="N19">
        <v>16</v>
      </c>
    </row>
    <row r="20" spans="1:14" ht="12.75">
      <c r="A20">
        <f t="shared" si="0"/>
        <v>17</v>
      </c>
      <c r="B20" s="88" t="s">
        <v>2567</v>
      </c>
      <c r="C20" s="173">
        <v>0.95</v>
      </c>
      <c r="D20" s="173">
        <v>0.95</v>
      </c>
      <c r="E20" s="173">
        <v>0.95</v>
      </c>
      <c r="F20" s="173">
        <v>0.95</v>
      </c>
      <c r="G20" s="173">
        <v>0.95</v>
      </c>
      <c r="H20" s="173">
        <v>0.95</v>
      </c>
      <c r="I20" s="173">
        <v>0.95</v>
      </c>
      <c r="J20" s="173">
        <v>0.95</v>
      </c>
      <c r="K20" s="174" t="s">
        <v>2071</v>
      </c>
      <c r="L20" s="173">
        <v>5.4</v>
      </c>
      <c r="M20" s="173">
        <v>0.15</v>
      </c>
      <c r="N20">
        <v>17</v>
      </c>
    </row>
    <row r="21" spans="1:14" ht="12.75">
      <c r="A21">
        <f t="shared" si="0"/>
        <v>18</v>
      </c>
      <c r="B21" s="88" t="s">
        <v>2568</v>
      </c>
      <c r="C21" s="173">
        <v>0.95</v>
      </c>
      <c r="D21" s="173">
        <v>0.95</v>
      </c>
      <c r="E21" s="173">
        <v>0.95</v>
      </c>
      <c r="F21" s="173">
        <v>0.95</v>
      </c>
      <c r="G21" s="173">
        <v>0.95</v>
      </c>
      <c r="H21" s="173">
        <v>0.95</v>
      </c>
      <c r="I21" s="173">
        <v>0.95</v>
      </c>
      <c r="J21" s="173">
        <v>0.95</v>
      </c>
      <c r="K21" s="174" t="s">
        <v>2071</v>
      </c>
      <c r="L21" s="173">
        <v>5.7</v>
      </c>
      <c r="M21" s="173">
        <v>0.15</v>
      </c>
      <c r="N21">
        <v>18</v>
      </c>
    </row>
    <row r="22" spans="1:14" ht="12.75">
      <c r="A22">
        <f t="shared" si="0"/>
        <v>19</v>
      </c>
      <c r="B22" s="88" t="s">
        <v>2569</v>
      </c>
      <c r="C22" s="173">
        <v>0.95</v>
      </c>
      <c r="D22" s="173">
        <v>0.95</v>
      </c>
      <c r="E22" s="173">
        <v>0.95</v>
      </c>
      <c r="F22" s="173">
        <v>0.95</v>
      </c>
      <c r="G22" s="173">
        <v>0.95</v>
      </c>
      <c r="H22" s="173">
        <v>0.95</v>
      </c>
      <c r="I22" s="173">
        <v>0.95</v>
      </c>
      <c r="J22" s="173">
        <v>0.95</v>
      </c>
      <c r="K22" s="174" t="s">
        <v>2071</v>
      </c>
      <c r="L22" s="173">
        <v>6</v>
      </c>
      <c r="M22" s="173">
        <v>0.15</v>
      </c>
      <c r="N22">
        <v>19</v>
      </c>
    </row>
    <row r="23" spans="1:14" ht="12.75">
      <c r="A23">
        <f t="shared" si="0"/>
        <v>20</v>
      </c>
      <c r="B23" s="88" t="s">
        <v>2570</v>
      </c>
      <c r="C23" s="173">
        <v>0.95</v>
      </c>
      <c r="D23" s="173">
        <v>0.95</v>
      </c>
      <c r="E23" s="173">
        <v>0.95</v>
      </c>
      <c r="F23" s="173">
        <v>0.95</v>
      </c>
      <c r="G23" s="173">
        <v>0.95</v>
      </c>
      <c r="H23" s="173">
        <v>0.95</v>
      </c>
      <c r="I23" s="173">
        <v>0.95</v>
      </c>
      <c r="J23" s="173">
        <v>0.95</v>
      </c>
      <c r="K23" s="174" t="s">
        <v>2071</v>
      </c>
      <c r="L23" s="173">
        <v>6.3</v>
      </c>
      <c r="M23" s="173">
        <v>0.15</v>
      </c>
      <c r="N23">
        <v>20</v>
      </c>
    </row>
    <row r="25" spans="2:10" ht="12.75">
      <c r="B25" t="s">
        <v>177</v>
      </c>
      <c r="C25" s="171" t="s">
        <v>2056</v>
      </c>
      <c r="D25" s="171" t="s">
        <v>2057</v>
      </c>
      <c r="E25" s="171" t="s">
        <v>2058</v>
      </c>
      <c r="F25" s="171" t="s">
        <v>2059</v>
      </c>
      <c r="G25" s="171" t="s">
        <v>2060</v>
      </c>
      <c r="H25" s="171" t="s">
        <v>2061</v>
      </c>
      <c r="I25" s="171" t="s">
        <v>2062</v>
      </c>
      <c r="J25" s="171" t="s">
        <v>2063</v>
      </c>
    </row>
    <row r="26" spans="1:13" ht="12.75">
      <c r="A26">
        <f>A25+1</f>
        <v>1</v>
      </c>
      <c r="B26" t="s">
        <v>180</v>
      </c>
      <c r="C26" s="173">
        <v>0.05</v>
      </c>
      <c r="D26" s="173">
        <v>-0.05</v>
      </c>
      <c r="E26" s="173">
        <v>0</v>
      </c>
      <c r="F26" s="173">
        <v>0.05</v>
      </c>
      <c r="G26" s="173">
        <v>0.1</v>
      </c>
      <c r="H26" s="173">
        <v>0.05</v>
      </c>
      <c r="I26" s="173">
        <v>0</v>
      </c>
      <c r="J26" s="173">
        <v>0</v>
      </c>
      <c r="K26" s="173"/>
      <c r="L26" s="173"/>
      <c r="M26" s="173"/>
    </row>
    <row r="27" spans="1:13" ht="12.75">
      <c r="A27">
        <f aca="true" t="shared" si="1" ref="A27:A32">A26+1</f>
        <v>2</v>
      </c>
      <c r="B27" t="s">
        <v>182</v>
      </c>
      <c r="C27" s="173">
        <v>0</v>
      </c>
      <c r="D27" s="173">
        <v>0.05</v>
      </c>
      <c r="E27" s="173">
        <v>0.1</v>
      </c>
      <c r="F27" s="173">
        <v>0.05</v>
      </c>
      <c r="G27" s="173">
        <v>0.05</v>
      </c>
      <c r="H27" s="173">
        <v>0.1</v>
      </c>
      <c r="I27" s="173">
        <v>-0.15</v>
      </c>
      <c r="J27" s="173">
        <v>0</v>
      </c>
      <c r="K27" s="173"/>
      <c r="L27" s="173"/>
      <c r="M27" s="173"/>
    </row>
    <row r="28" spans="1:13" ht="12.75">
      <c r="A28">
        <f t="shared" si="1"/>
        <v>3</v>
      </c>
      <c r="B28" t="s">
        <v>1314</v>
      </c>
      <c r="C28" s="173">
        <v>0.05</v>
      </c>
      <c r="D28" s="173">
        <v>0</v>
      </c>
      <c r="E28" s="173">
        <v>0.05</v>
      </c>
      <c r="F28" s="173">
        <v>0.05</v>
      </c>
      <c r="G28" s="173">
        <v>0.1</v>
      </c>
      <c r="H28" s="173">
        <v>0.05</v>
      </c>
      <c r="I28" s="173">
        <v>0</v>
      </c>
      <c r="J28" s="173">
        <v>0</v>
      </c>
      <c r="K28" s="173"/>
      <c r="L28" s="173"/>
      <c r="M28" s="173"/>
    </row>
    <row r="29" spans="1:13" ht="12.75">
      <c r="A29">
        <f t="shared" si="1"/>
        <v>4</v>
      </c>
      <c r="B29" t="s">
        <v>181</v>
      </c>
      <c r="C29" s="173">
        <v>0.1</v>
      </c>
      <c r="D29" s="173">
        <v>0</v>
      </c>
      <c r="E29" s="173">
        <v>0</v>
      </c>
      <c r="F29" s="173">
        <v>0</v>
      </c>
      <c r="G29" s="173">
        <v>0.05</v>
      </c>
      <c r="H29" s="173">
        <v>0</v>
      </c>
      <c r="I29" s="173">
        <v>0</v>
      </c>
      <c r="J29" s="173">
        <v>0</v>
      </c>
      <c r="K29" s="173"/>
      <c r="L29" s="173"/>
      <c r="M29" s="173"/>
    </row>
    <row r="30" spans="1:13" ht="12.75">
      <c r="A30">
        <f t="shared" si="1"/>
        <v>5</v>
      </c>
      <c r="B30" t="s">
        <v>183</v>
      </c>
      <c r="C30" s="173">
        <v>0.05</v>
      </c>
      <c r="D30" s="173">
        <v>0.05</v>
      </c>
      <c r="E30" s="173">
        <v>0.05</v>
      </c>
      <c r="F30" s="173">
        <v>0.1</v>
      </c>
      <c r="G30" s="173">
        <v>0.15</v>
      </c>
      <c r="H30" s="173">
        <v>0.05</v>
      </c>
      <c r="I30" s="173">
        <v>-0.15</v>
      </c>
      <c r="J30" s="173">
        <v>-0.05</v>
      </c>
      <c r="K30" s="173"/>
      <c r="L30" s="173"/>
      <c r="M30" s="173"/>
    </row>
    <row r="31" spans="1:13" ht="12.75">
      <c r="A31">
        <f t="shared" si="1"/>
        <v>6</v>
      </c>
      <c r="B31" t="s">
        <v>178</v>
      </c>
      <c r="C31" s="173">
        <v>0</v>
      </c>
      <c r="D31" s="173">
        <v>0</v>
      </c>
      <c r="E31" s="173">
        <v>0</v>
      </c>
      <c r="F31" s="173">
        <v>0</v>
      </c>
      <c r="G31" s="173">
        <v>0</v>
      </c>
      <c r="H31" s="173">
        <v>0</v>
      </c>
      <c r="I31" s="173">
        <v>0</v>
      </c>
      <c r="J31" s="173">
        <v>0</v>
      </c>
      <c r="K31" s="173"/>
      <c r="L31" s="173"/>
      <c r="M31" s="173"/>
    </row>
    <row r="32" spans="1:13" ht="12.75">
      <c r="A32">
        <f t="shared" si="1"/>
        <v>7</v>
      </c>
      <c r="B32" t="s">
        <v>179</v>
      </c>
      <c r="C32" s="173">
        <v>0</v>
      </c>
      <c r="D32" s="173">
        <v>0.1</v>
      </c>
      <c r="E32" s="173">
        <v>0.15</v>
      </c>
      <c r="F32" s="173">
        <v>0</v>
      </c>
      <c r="G32" s="173">
        <v>0</v>
      </c>
      <c r="H32" s="173">
        <v>0</v>
      </c>
      <c r="I32" s="173">
        <v>-0.1</v>
      </c>
      <c r="J32" s="173">
        <v>-0.05</v>
      </c>
      <c r="K32" s="173"/>
      <c r="L32" s="173"/>
      <c r="M32" s="173"/>
    </row>
    <row r="34" spans="2:10" ht="12.75">
      <c r="B34" t="s">
        <v>1876</v>
      </c>
      <c r="C34" s="171" t="s">
        <v>2056</v>
      </c>
      <c r="D34" s="171" t="s">
        <v>2057</v>
      </c>
      <c r="E34" s="171" t="s">
        <v>2058</v>
      </c>
      <c r="F34" s="171" t="s">
        <v>2059</v>
      </c>
      <c r="G34" s="171" t="s">
        <v>2060</v>
      </c>
      <c r="H34" s="171" t="s">
        <v>2061</v>
      </c>
      <c r="I34" s="171" t="s">
        <v>2062</v>
      </c>
      <c r="J34" s="171" t="s">
        <v>2063</v>
      </c>
    </row>
    <row r="35" spans="1:11" ht="12.75">
      <c r="A35">
        <f>A34+1</f>
        <v>1</v>
      </c>
      <c r="B35" t="s">
        <v>2075</v>
      </c>
      <c r="C35" s="173">
        <v>-0.15</v>
      </c>
      <c r="D35" s="173">
        <v>-0.1</v>
      </c>
      <c r="E35" s="173">
        <v>-0.1</v>
      </c>
      <c r="F35" s="173">
        <v>-0.2</v>
      </c>
      <c r="G35" s="173">
        <v>-0.1</v>
      </c>
      <c r="H35" s="173">
        <v>0</v>
      </c>
      <c r="I35" s="173">
        <v>0</v>
      </c>
      <c r="J35" s="173">
        <v>0</v>
      </c>
      <c r="K35">
        <v>9</v>
      </c>
    </row>
    <row r="36" spans="1:11" ht="12.75">
      <c r="A36">
        <f aca="true" t="shared" si="2" ref="A36:A51">A35+1</f>
        <v>2</v>
      </c>
      <c r="B36" t="s">
        <v>2076</v>
      </c>
      <c r="C36" s="173">
        <v>-0.1</v>
      </c>
      <c r="D36" s="173">
        <v>-0.05</v>
      </c>
      <c r="E36" s="173">
        <v>-0.1</v>
      </c>
      <c r="F36" s="173">
        <v>-0.15</v>
      </c>
      <c r="G36" s="173">
        <v>-0.05</v>
      </c>
      <c r="H36" s="173">
        <v>0</v>
      </c>
      <c r="I36" s="173">
        <v>0</v>
      </c>
      <c r="J36" s="173">
        <v>0</v>
      </c>
      <c r="K36">
        <v>10</v>
      </c>
    </row>
    <row r="37" spans="1:11" ht="12.75">
      <c r="A37">
        <f t="shared" si="2"/>
        <v>3</v>
      </c>
      <c r="B37" t="s">
        <v>2077</v>
      </c>
      <c r="C37" s="173">
        <v>-0.05</v>
      </c>
      <c r="D37" s="173">
        <v>0</v>
      </c>
      <c r="E37" s="173">
        <v>-0.05</v>
      </c>
      <c r="F37" s="173">
        <v>-0.1</v>
      </c>
      <c r="G37" s="173">
        <v>0</v>
      </c>
      <c r="H37" s="173">
        <v>0</v>
      </c>
      <c r="I37" s="173">
        <v>0</v>
      </c>
      <c r="J37" s="173">
        <v>0</v>
      </c>
      <c r="K37">
        <v>11</v>
      </c>
    </row>
    <row r="38" spans="1:11" ht="12.75">
      <c r="A38">
        <f t="shared" si="2"/>
        <v>4</v>
      </c>
      <c r="B38" t="s">
        <v>2078</v>
      </c>
      <c r="C38" s="173">
        <v>0</v>
      </c>
      <c r="D38" s="173">
        <v>0</v>
      </c>
      <c r="E38" s="173">
        <v>0</v>
      </c>
      <c r="F38" s="173">
        <v>-0.05</v>
      </c>
      <c r="G38" s="173">
        <v>0</v>
      </c>
      <c r="H38" s="173">
        <v>0</v>
      </c>
      <c r="I38" s="173">
        <v>0</v>
      </c>
      <c r="J38" s="173">
        <v>0</v>
      </c>
      <c r="K38">
        <v>12</v>
      </c>
    </row>
    <row r="39" spans="1:11" ht="12.75">
      <c r="A39">
        <f t="shared" si="2"/>
        <v>5</v>
      </c>
      <c r="B39" t="s">
        <v>2079</v>
      </c>
      <c r="C39" s="173">
        <v>0</v>
      </c>
      <c r="D39" s="173">
        <v>0</v>
      </c>
      <c r="E39" s="173">
        <v>0</v>
      </c>
      <c r="F39" s="173">
        <v>0</v>
      </c>
      <c r="G39" s="173">
        <v>0</v>
      </c>
      <c r="H39" s="173">
        <v>0</v>
      </c>
      <c r="I39" s="173">
        <v>0</v>
      </c>
      <c r="J39" s="173">
        <v>0</v>
      </c>
      <c r="K39">
        <v>13</v>
      </c>
    </row>
    <row r="40" spans="1:11" ht="12.75">
      <c r="A40">
        <f t="shared" si="2"/>
        <v>6</v>
      </c>
      <c r="B40" t="s">
        <v>2080</v>
      </c>
      <c r="C40" s="173">
        <v>0</v>
      </c>
      <c r="D40" s="173">
        <v>0</v>
      </c>
      <c r="E40" s="173">
        <v>0</v>
      </c>
      <c r="F40" s="173">
        <v>0</v>
      </c>
      <c r="G40" s="173">
        <v>0</v>
      </c>
      <c r="H40" s="173">
        <v>0</v>
      </c>
      <c r="I40" s="173">
        <v>0</v>
      </c>
      <c r="J40" s="173">
        <v>0</v>
      </c>
      <c r="K40">
        <v>14</v>
      </c>
    </row>
    <row r="41" spans="1:11" ht="12.75">
      <c r="A41">
        <f t="shared" si="2"/>
        <v>7</v>
      </c>
      <c r="B41" t="s">
        <v>2081</v>
      </c>
      <c r="C41" s="173">
        <v>0</v>
      </c>
      <c r="D41" s="173">
        <v>0</v>
      </c>
      <c r="E41" s="173">
        <v>0</v>
      </c>
      <c r="F41" s="173">
        <v>0</v>
      </c>
      <c r="G41" s="173">
        <v>0</v>
      </c>
      <c r="H41" s="173">
        <v>0</v>
      </c>
      <c r="I41" s="173">
        <v>0</v>
      </c>
      <c r="J41" s="173">
        <v>0</v>
      </c>
      <c r="K41">
        <v>15</v>
      </c>
    </row>
    <row r="42" spans="1:11" ht="12.75">
      <c r="A42">
        <f t="shared" si="2"/>
        <v>8</v>
      </c>
      <c r="B42" t="s">
        <v>2082</v>
      </c>
      <c r="C42" s="173">
        <v>0</v>
      </c>
      <c r="D42" s="173">
        <v>0.05</v>
      </c>
      <c r="E42" s="173">
        <v>0</v>
      </c>
      <c r="F42" s="173">
        <v>0</v>
      </c>
      <c r="G42" s="173">
        <v>0</v>
      </c>
      <c r="H42" s="173">
        <v>0</v>
      </c>
      <c r="I42" s="173">
        <v>0</v>
      </c>
      <c r="J42" s="173">
        <v>0</v>
      </c>
      <c r="K42">
        <v>16</v>
      </c>
    </row>
    <row r="43" spans="1:11" ht="12.75">
      <c r="A43">
        <f t="shared" si="2"/>
        <v>9</v>
      </c>
      <c r="B43" t="s">
        <v>2083</v>
      </c>
      <c r="C43" s="173">
        <v>0.05</v>
      </c>
      <c r="D43" s="173">
        <v>0.1</v>
      </c>
      <c r="E43" s="173">
        <v>0</v>
      </c>
      <c r="F43" s="173">
        <v>0.05</v>
      </c>
      <c r="G43" s="173">
        <v>0.05</v>
      </c>
      <c r="H43" s="173">
        <v>0</v>
      </c>
      <c r="I43" s="173">
        <v>0</v>
      </c>
      <c r="J43" s="173">
        <v>0</v>
      </c>
      <c r="K43">
        <v>17</v>
      </c>
    </row>
    <row r="44" spans="1:11" ht="12.75">
      <c r="A44">
        <f t="shared" si="2"/>
        <v>10</v>
      </c>
      <c r="B44" t="s">
        <v>2084</v>
      </c>
      <c r="C44" s="173">
        <v>0.1</v>
      </c>
      <c r="D44" s="173">
        <v>0.15</v>
      </c>
      <c r="E44" s="173">
        <v>0.05</v>
      </c>
      <c r="F44" s="173">
        <v>0.1</v>
      </c>
      <c r="G44" s="173">
        <v>0.1</v>
      </c>
      <c r="H44" s="173">
        <v>0</v>
      </c>
      <c r="I44" s="173">
        <v>0</v>
      </c>
      <c r="J44" s="173">
        <v>0</v>
      </c>
      <c r="K44">
        <v>18</v>
      </c>
    </row>
    <row r="45" spans="1:11" ht="12.75">
      <c r="A45">
        <f t="shared" si="2"/>
        <v>11</v>
      </c>
      <c r="B45" t="s">
        <v>2085</v>
      </c>
      <c r="C45" s="173">
        <v>0.15</v>
      </c>
      <c r="D45" s="173">
        <v>0.2</v>
      </c>
      <c r="E45" s="173">
        <v>0.1</v>
      </c>
      <c r="F45" s="173">
        <v>0.15</v>
      </c>
      <c r="G45" s="173">
        <v>0.15</v>
      </c>
      <c r="H45" s="173">
        <v>0</v>
      </c>
      <c r="I45" s="173">
        <v>0</v>
      </c>
      <c r="J45" s="173">
        <v>0</v>
      </c>
      <c r="K45">
        <v>19</v>
      </c>
    </row>
    <row r="46" spans="1:11" ht="12.75">
      <c r="A46">
        <f t="shared" si="2"/>
        <v>12</v>
      </c>
      <c r="B46" t="s">
        <v>2086</v>
      </c>
      <c r="C46" s="173">
        <v>0.15</v>
      </c>
      <c r="D46" s="173">
        <v>0.2</v>
      </c>
      <c r="E46" s="173">
        <v>0.1</v>
      </c>
      <c r="F46" s="173">
        <v>0.15</v>
      </c>
      <c r="G46" s="173">
        <v>0.15</v>
      </c>
      <c r="H46" s="173">
        <v>0</v>
      </c>
      <c r="I46" s="173">
        <v>0</v>
      </c>
      <c r="J46" s="173">
        <v>0</v>
      </c>
      <c r="K46">
        <v>20</v>
      </c>
    </row>
    <row r="47" spans="1:11" ht="12.75">
      <c r="A47">
        <f t="shared" si="2"/>
        <v>13</v>
      </c>
      <c r="B47" t="s">
        <v>2087</v>
      </c>
      <c r="C47" s="173">
        <v>0.15</v>
      </c>
      <c r="D47" s="173">
        <v>0.2</v>
      </c>
      <c r="E47" s="173">
        <v>0.1</v>
      </c>
      <c r="F47" s="173">
        <v>0.15</v>
      </c>
      <c r="G47" s="173">
        <v>0.15</v>
      </c>
      <c r="H47" s="173">
        <v>0</v>
      </c>
      <c r="I47" s="173">
        <v>0</v>
      </c>
      <c r="J47" s="173">
        <v>0</v>
      </c>
      <c r="K47">
        <v>21</v>
      </c>
    </row>
    <row r="48" spans="1:11" ht="12.75">
      <c r="A48">
        <f t="shared" si="2"/>
        <v>14</v>
      </c>
      <c r="B48" t="s">
        <v>2088</v>
      </c>
      <c r="C48" s="173">
        <v>0.15</v>
      </c>
      <c r="D48" s="173">
        <v>0.2</v>
      </c>
      <c r="E48" s="173">
        <v>0.1</v>
      </c>
      <c r="F48" s="173">
        <v>0.15</v>
      </c>
      <c r="G48" s="173">
        <v>0.15</v>
      </c>
      <c r="H48" s="173">
        <v>0</v>
      </c>
      <c r="I48" s="173">
        <v>0</v>
      </c>
      <c r="J48" s="173">
        <v>0</v>
      </c>
      <c r="K48">
        <v>22</v>
      </c>
    </row>
    <row r="49" spans="1:11" ht="12.75">
      <c r="A49">
        <f t="shared" si="2"/>
        <v>15</v>
      </c>
      <c r="B49" t="s">
        <v>2105</v>
      </c>
      <c r="C49" s="173">
        <v>0.15</v>
      </c>
      <c r="D49" s="173">
        <v>0.2</v>
      </c>
      <c r="E49" s="173">
        <v>0.1</v>
      </c>
      <c r="F49" s="173">
        <v>0.15</v>
      </c>
      <c r="G49" s="173">
        <v>0.15</v>
      </c>
      <c r="H49" s="173">
        <v>0</v>
      </c>
      <c r="I49" s="173">
        <v>0</v>
      </c>
      <c r="J49" s="173">
        <v>0</v>
      </c>
      <c r="K49">
        <v>23</v>
      </c>
    </row>
    <row r="50" spans="1:11" ht="12.75">
      <c r="A50">
        <f t="shared" si="2"/>
        <v>16</v>
      </c>
      <c r="B50" t="s">
        <v>2106</v>
      </c>
      <c r="C50" s="173">
        <v>0.15</v>
      </c>
      <c r="D50" s="173">
        <v>0.2</v>
      </c>
      <c r="E50" s="173">
        <v>0.1</v>
      </c>
      <c r="F50" s="173">
        <v>0.15</v>
      </c>
      <c r="G50" s="173">
        <v>0.15</v>
      </c>
      <c r="H50" s="173">
        <v>0</v>
      </c>
      <c r="I50" s="173">
        <v>0</v>
      </c>
      <c r="J50" s="173">
        <v>0</v>
      </c>
      <c r="K50">
        <v>24</v>
      </c>
    </row>
    <row r="51" spans="1:11" ht="12.75">
      <c r="A51">
        <f t="shared" si="2"/>
        <v>17</v>
      </c>
      <c r="B51" t="s">
        <v>2107</v>
      </c>
      <c r="C51" s="173">
        <v>0.15</v>
      </c>
      <c r="D51" s="173">
        <v>0.2</v>
      </c>
      <c r="E51" s="173">
        <v>0.1</v>
      </c>
      <c r="F51" s="173">
        <v>0.15</v>
      </c>
      <c r="G51" s="173">
        <v>0.15</v>
      </c>
      <c r="H51" s="173">
        <v>0</v>
      </c>
      <c r="I51" s="173">
        <v>0</v>
      </c>
      <c r="J51" s="173">
        <v>0</v>
      </c>
      <c r="K51">
        <v>25</v>
      </c>
    </row>
    <row r="53" spans="2:10" ht="12.75">
      <c r="B53" t="s">
        <v>313</v>
      </c>
      <c r="C53" s="171" t="s">
        <v>2056</v>
      </c>
      <c r="D53" s="171" t="s">
        <v>2057</v>
      </c>
      <c r="E53" s="171" t="s">
        <v>2058</v>
      </c>
      <c r="F53" s="171" t="s">
        <v>2059</v>
      </c>
      <c r="G53" s="171" t="s">
        <v>2060</v>
      </c>
      <c r="H53" s="171" t="s">
        <v>2061</v>
      </c>
      <c r="I53" s="171" t="s">
        <v>2062</v>
      </c>
      <c r="J53" s="171" t="s">
        <v>2063</v>
      </c>
    </row>
    <row r="54" spans="1:10" ht="12.75">
      <c r="A54">
        <f aca="true" t="shared" si="3" ref="A54:A66">A53+1</f>
        <v>1</v>
      </c>
      <c r="B54" t="s">
        <v>325</v>
      </c>
      <c r="C54" s="173">
        <v>-0.5</v>
      </c>
      <c r="D54" s="173">
        <v>-0.2</v>
      </c>
      <c r="E54" s="173">
        <v>-0.2</v>
      </c>
      <c r="F54" s="173">
        <v>-0.6</v>
      </c>
      <c r="G54" s="173">
        <v>-0.5</v>
      </c>
      <c r="H54" s="173">
        <v>-0.3</v>
      </c>
      <c r="I54" s="173">
        <v>-0.9</v>
      </c>
      <c r="J54" s="173"/>
    </row>
    <row r="55" spans="1:10" ht="12.75">
      <c r="A55">
        <f t="shared" si="3"/>
        <v>2</v>
      </c>
      <c r="B55" t="s">
        <v>317</v>
      </c>
      <c r="C55" s="173">
        <v>-0.3</v>
      </c>
      <c r="D55" s="173">
        <v>-0.1</v>
      </c>
      <c r="E55" s="173">
        <v>-0.1</v>
      </c>
      <c r="F55" s="173">
        <v>-0.2</v>
      </c>
      <c r="G55" s="173">
        <v>-0.2</v>
      </c>
      <c r="H55" s="173">
        <v>-0.1</v>
      </c>
      <c r="I55" s="173">
        <v>-0.3</v>
      </c>
      <c r="J55" s="173">
        <v>0</v>
      </c>
    </row>
    <row r="56" spans="1:10" ht="12.75">
      <c r="A56">
        <f t="shared" si="3"/>
        <v>3</v>
      </c>
      <c r="B56" t="s">
        <v>315</v>
      </c>
      <c r="C56" s="173">
        <v>-0.2</v>
      </c>
      <c r="D56" s="173">
        <v>-0.05</v>
      </c>
      <c r="E56" s="173">
        <v>-0.05</v>
      </c>
      <c r="F56" s="173">
        <v>-0.1</v>
      </c>
      <c r="G56" s="173">
        <v>-0.1</v>
      </c>
      <c r="H56" s="173">
        <v>-0.05</v>
      </c>
      <c r="I56" s="173">
        <v>-0.2</v>
      </c>
      <c r="J56" s="173">
        <v>0</v>
      </c>
    </row>
    <row r="57" spans="1:10" ht="12.75">
      <c r="A57">
        <f t="shared" si="3"/>
        <v>4</v>
      </c>
      <c r="B57" t="s">
        <v>324</v>
      </c>
      <c r="C57" s="173">
        <v>-0.95</v>
      </c>
      <c r="D57" s="173">
        <v>-0.8</v>
      </c>
      <c r="E57" s="173">
        <v>-0.8</v>
      </c>
      <c r="F57" s="173">
        <v>-0.95</v>
      </c>
      <c r="G57" s="173">
        <v>-0.95</v>
      </c>
      <c r="H57" s="173">
        <v>-0.7</v>
      </c>
      <c r="I57" s="173">
        <v>-0.95</v>
      </c>
      <c r="J57" s="173">
        <v>0</v>
      </c>
    </row>
    <row r="58" spans="1:10" ht="12.75">
      <c r="A58">
        <f>A57+1</f>
        <v>5</v>
      </c>
      <c r="B58" t="s">
        <v>314</v>
      </c>
      <c r="C58" s="173">
        <v>0.05</v>
      </c>
      <c r="D58" s="173">
        <v>0</v>
      </c>
      <c r="E58" s="173">
        <v>0</v>
      </c>
      <c r="F58" s="173">
        <v>0.1</v>
      </c>
      <c r="G58" s="173">
        <v>0.05</v>
      </c>
      <c r="H58" s="173">
        <v>0</v>
      </c>
      <c r="I58" s="173">
        <v>0.1</v>
      </c>
      <c r="J58" s="173">
        <v>0</v>
      </c>
    </row>
    <row r="59" spans="1:10" ht="12.75">
      <c r="A59">
        <f t="shared" si="3"/>
        <v>6</v>
      </c>
      <c r="B59" t="s">
        <v>319</v>
      </c>
      <c r="C59" s="173">
        <v>-0.4</v>
      </c>
      <c r="D59" s="173">
        <v>-0.15</v>
      </c>
      <c r="E59" s="173">
        <v>-0.15</v>
      </c>
      <c r="F59" s="173">
        <v>-0.4</v>
      </c>
      <c r="G59" s="173">
        <v>-0.3</v>
      </c>
      <c r="H59" s="173">
        <v>-0.2</v>
      </c>
      <c r="I59" s="173">
        <v>-0.4</v>
      </c>
      <c r="J59" s="173">
        <v>0</v>
      </c>
    </row>
    <row r="60" spans="1:10" ht="12.75">
      <c r="A60">
        <f t="shared" si="3"/>
        <v>7</v>
      </c>
      <c r="B60" t="s">
        <v>322</v>
      </c>
      <c r="C60" s="173">
        <v>-0.4</v>
      </c>
      <c r="D60" s="173">
        <v>-0.15</v>
      </c>
      <c r="E60" s="173">
        <v>-0.25</v>
      </c>
      <c r="F60" s="173">
        <v>-0.4</v>
      </c>
      <c r="G60" s="173">
        <v>-0.3</v>
      </c>
      <c r="H60" s="173">
        <v>-0.25</v>
      </c>
      <c r="I60" s="173">
        <v>-0.5</v>
      </c>
      <c r="J60" s="173">
        <v>0</v>
      </c>
    </row>
    <row r="61" spans="1:10" ht="12.75">
      <c r="A61">
        <f t="shared" si="3"/>
        <v>8</v>
      </c>
      <c r="B61" t="s">
        <v>2089</v>
      </c>
      <c r="C61" s="173">
        <v>0</v>
      </c>
      <c r="D61" s="173">
        <v>0</v>
      </c>
      <c r="E61" s="173">
        <v>0</v>
      </c>
      <c r="F61" s="173">
        <v>0</v>
      </c>
      <c r="G61" s="173">
        <v>0</v>
      </c>
      <c r="H61" s="173">
        <v>0</v>
      </c>
      <c r="I61" s="173">
        <v>0</v>
      </c>
      <c r="J61" s="173">
        <v>0</v>
      </c>
    </row>
    <row r="62" spans="1:10" ht="12.75">
      <c r="A62">
        <f t="shared" si="3"/>
        <v>9</v>
      </c>
      <c r="B62" t="s">
        <v>318</v>
      </c>
      <c r="C62" s="173">
        <v>-0.6</v>
      </c>
      <c r="D62" s="173">
        <v>-0.5</v>
      </c>
      <c r="E62" s="173">
        <v>-0.5</v>
      </c>
      <c r="F62" s="173">
        <v>-0.3</v>
      </c>
      <c r="G62" s="173">
        <v>-0.2</v>
      </c>
      <c r="H62" s="173">
        <v>-0.1</v>
      </c>
      <c r="I62" s="173">
        <v>-0.6</v>
      </c>
      <c r="J62" s="173">
        <v>0</v>
      </c>
    </row>
    <row r="63" spans="1:10" ht="12.75">
      <c r="A63">
        <f t="shared" si="3"/>
        <v>10</v>
      </c>
      <c r="B63" t="s">
        <v>323</v>
      </c>
      <c r="C63" s="173">
        <v>-0.95</v>
      </c>
      <c r="D63" s="173">
        <v>-0.8</v>
      </c>
      <c r="E63" s="173">
        <v>-0.8</v>
      </c>
      <c r="F63" s="173">
        <v>-0.95</v>
      </c>
      <c r="G63" s="173">
        <v>-0.95</v>
      </c>
      <c r="H63" s="173">
        <v>-0.7</v>
      </c>
      <c r="I63" s="173">
        <v>-0.95</v>
      </c>
      <c r="J63" s="173">
        <v>0</v>
      </c>
    </row>
    <row r="64" spans="1:10" ht="12.75">
      <c r="A64">
        <f t="shared" si="3"/>
        <v>11</v>
      </c>
      <c r="B64" t="s">
        <v>320</v>
      </c>
      <c r="C64" s="173">
        <v>-0.4</v>
      </c>
      <c r="D64" s="173">
        <v>-0.15</v>
      </c>
      <c r="E64" s="173">
        <v>-0.15</v>
      </c>
      <c r="F64" s="173">
        <v>-0.4</v>
      </c>
      <c r="G64" s="173">
        <v>-0.3</v>
      </c>
      <c r="H64" s="173">
        <v>-0.2</v>
      </c>
      <c r="I64" s="173">
        <v>-0.4</v>
      </c>
      <c r="J64" s="173">
        <v>0</v>
      </c>
    </row>
    <row r="65" spans="1:10" ht="12.75">
      <c r="A65">
        <f t="shared" si="3"/>
        <v>12</v>
      </c>
      <c r="B65" t="s">
        <v>321</v>
      </c>
      <c r="C65" s="173">
        <v>-0.4</v>
      </c>
      <c r="D65" s="173">
        <v>-0.15</v>
      </c>
      <c r="E65" s="173">
        <v>-0.25</v>
      </c>
      <c r="F65" s="173">
        <v>-0.4</v>
      </c>
      <c r="G65" s="173">
        <v>-0.3</v>
      </c>
      <c r="H65" s="173">
        <v>-0.25</v>
      </c>
      <c r="I65" s="173">
        <v>-0.5</v>
      </c>
      <c r="J65" s="173">
        <v>0</v>
      </c>
    </row>
    <row r="66" spans="1:10" ht="12.75">
      <c r="A66">
        <f t="shared" si="3"/>
        <v>13</v>
      </c>
      <c r="B66" t="s">
        <v>316</v>
      </c>
      <c r="C66" s="173">
        <v>-0.3</v>
      </c>
      <c r="D66" s="173">
        <v>-0.1</v>
      </c>
      <c r="E66" s="173">
        <v>-0.1</v>
      </c>
      <c r="F66" s="173">
        <v>-0.2</v>
      </c>
      <c r="G66" s="173">
        <v>-0.2</v>
      </c>
      <c r="H66" s="173">
        <v>-0.1</v>
      </c>
      <c r="I66" s="173">
        <v>-0.3</v>
      </c>
      <c r="J66" s="173">
        <v>0</v>
      </c>
    </row>
  </sheetData>
  <sheetProtection password="C795" sheet="1" objects="1" scenarios="1"/>
  <printOptions/>
  <pageMargins left="0.75" right="0.75" top="1" bottom="1" header="0.4921259845" footer="0.4921259845"/>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codeName="Tabelle17"/>
  <dimension ref="A2:S70"/>
  <sheetViews>
    <sheetView workbookViewId="0" topLeftCell="A1">
      <selection activeCell="B4" sqref="B4"/>
    </sheetView>
  </sheetViews>
  <sheetFormatPr defaultColWidth="11.421875" defaultRowHeight="12.75"/>
  <sheetData>
    <row r="2" spans="2:11" ht="12.75">
      <c r="B2" s="209" t="s">
        <v>244</v>
      </c>
      <c r="C2" s="209"/>
      <c r="D2" s="209"/>
      <c r="E2" s="209"/>
      <c r="F2" s="209"/>
      <c r="G2" s="209"/>
      <c r="H2" s="209"/>
      <c r="I2" s="209"/>
      <c r="J2" s="209"/>
      <c r="K2" s="209"/>
    </row>
    <row r="3" spans="1:11" ht="12.75">
      <c r="A3" t="s">
        <v>2073</v>
      </c>
      <c r="B3" s="206">
        <v>1</v>
      </c>
      <c r="C3" s="206">
        <v>2</v>
      </c>
      <c r="D3" s="206">
        <v>3</v>
      </c>
      <c r="E3" s="206">
        <v>4</v>
      </c>
      <c r="F3" s="206">
        <v>5</v>
      </c>
      <c r="G3" s="206">
        <v>6</v>
      </c>
      <c r="H3" s="206">
        <v>7</v>
      </c>
      <c r="I3" s="206">
        <v>8</v>
      </c>
      <c r="J3" s="206">
        <v>9</v>
      </c>
      <c r="K3" t="s">
        <v>275</v>
      </c>
    </row>
    <row r="4" spans="1:11" ht="12.75">
      <c r="A4">
        <v>1</v>
      </c>
      <c r="B4">
        <v>1</v>
      </c>
      <c r="C4">
        <v>0</v>
      </c>
      <c r="D4">
        <v>0</v>
      </c>
      <c r="E4">
        <v>0</v>
      </c>
      <c r="F4">
        <v>0</v>
      </c>
      <c r="G4">
        <v>0</v>
      </c>
      <c r="H4">
        <v>0</v>
      </c>
      <c r="I4">
        <v>0</v>
      </c>
      <c r="J4">
        <v>0</v>
      </c>
      <c r="K4" t="s">
        <v>2518</v>
      </c>
    </row>
    <row r="5" spans="1:11" ht="12.75">
      <c r="A5">
        <f>A4+1</f>
        <v>2</v>
      </c>
      <c r="B5">
        <v>2</v>
      </c>
      <c r="C5">
        <v>0</v>
      </c>
      <c r="D5">
        <v>0</v>
      </c>
      <c r="E5">
        <v>0</v>
      </c>
      <c r="F5">
        <v>0</v>
      </c>
      <c r="G5">
        <v>0</v>
      </c>
      <c r="H5">
        <v>0</v>
      </c>
      <c r="I5">
        <v>0</v>
      </c>
      <c r="J5">
        <v>0</v>
      </c>
      <c r="K5" t="s">
        <v>2519</v>
      </c>
    </row>
    <row r="6" spans="1:11" ht="12.75">
      <c r="A6">
        <f aca="true" t="shared" si="0" ref="A6:A23">A5+1</f>
        <v>3</v>
      </c>
      <c r="B6">
        <v>2</v>
      </c>
      <c r="C6">
        <v>1</v>
      </c>
      <c r="D6">
        <v>0</v>
      </c>
      <c r="E6">
        <v>0</v>
      </c>
      <c r="F6">
        <v>0</v>
      </c>
      <c r="G6">
        <v>0</v>
      </c>
      <c r="H6">
        <v>0</v>
      </c>
      <c r="I6">
        <v>0</v>
      </c>
      <c r="J6">
        <v>0</v>
      </c>
      <c r="K6" t="s">
        <v>2520</v>
      </c>
    </row>
    <row r="7" spans="1:11" ht="12.75">
      <c r="A7">
        <f t="shared" si="0"/>
        <v>4</v>
      </c>
      <c r="B7">
        <v>3</v>
      </c>
      <c r="C7">
        <v>2</v>
      </c>
      <c r="D7">
        <v>0</v>
      </c>
      <c r="E7">
        <v>0</v>
      </c>
      <c r="F7">
        <v>0</v>
      </c>
      <c r="G7">
        <v>0</v>
      </c>
      <c r="H7">
        <v>0</v>
      </c>
      <c r="I7">
        <v>0</v>
      </c>
      <c r="J7">
        <v>0</v>
      </c>
      <c r="K7" t="s">
        <v>2521</v>
      </c>
    </row>
    <row r="8" spans="1:11" ht="12.75">
      <c r="A8">
        <f t="shared" si="0"/>
        <v>5</v>
      </c>
      <c r="B8">
        <v>4</v>
      </c>
      <c r="C8">
        <v>2</v>
      </c>
      <c r="D8">
        <v>1</v>
      </c>
      <c r="E8">
        <v>0</v>
      </c>
      <c r="F8">
        <v>0</v>
      </c>
      <c r="G8">
        <v>0</v>
      </c>
      <c r="H8">
        <v>0</v>
      </c>
      <c r="I8">
        <v>0</v>
      </c>
      <c r="J8">
        <v>0</v>
      </c>
      <c r="K8" t="s">
        <v>2522</v>
      </c>
    </row>
    <row r="9" spans="1:11" ht="12.75">
      <c r="A9">
        <f t="shared" si="0"/>
        <v>6</v>
      </c>
      <c r="B9">
        <v>4</v>
      </c>
      <c r="C9">
        <v>2</v>
      </c>
      <c r="D9">
        <v>2</v>
      </c>
      <c r="E9">
        <v>0</v>
      </c>
      <c r="F9">
        <v>0</v>
      </c>
      <c r="G9">
        <v>0</v>
      </c>
      <c r="H9">
        <v>0</v>
      </c>
      <c r="I9">
        <v>0</v>
      </c>
      <c r="J9">
        <v>0</v>
      </c>
      <c r="K9" t="s">
        <v>2523</v>
      </c>
    </row>
    <row r="10" spans="1:11" ht="12.75">
      <c r="A10">
        <f t="shared" si="0"/>
        <v>7</v>
      </c>
      <c r="B10">
        <v>4</v>
      </c>
      <c r="C10">
        <v>3</v>
      </c>
      <c r="D10">
        <v>2</v>
      </c>
      <c r="E10">
        <v>1</v>
      </c>
      <c r="F10">
        <v>0</v>
      </c>
      <c r="G10">
        <v>0</v>
      </c>
      <c r="H10">
        <v>0</v>
      </c>
      <c r="I10">
        <v>0</v>
      </c>
      <c r="J10">
        <v>0</v>
      </c>
      <c r="K10" t="s">
        <v>2524</v>
      </c>
    </row>
    <row r="11" spans="1:11" ht="12.75">
      <c r="A11">
        <f>A10+1</f>
        <v>8</v>
      </c>
      <c r="B11">
        <v>4</v>
      </c>
      <c r="C11">
        <v>3</v>
      </c>
      <c r="D11">
        <v>3</v>
      </c>
      <c r="E11">
        <v>2</v>
      </c>
      <c r="F11">
        <v>0</v>
      </c>
      <c r="G11">
        <v>0</v>
      </c>
      <c r="H11">
        <v>0</v>
      </c>
      <c r="I11">
        <v>0</v>
      </c>
      <c r="J11">
        <v>0</v>
      </c>
      <c r="K11" t="s">
        <v>2525</v>
      </c>
    </row>
    <row r="12" spans="1:11" ht="12.75">
      <c r="A12">
        <f t="shared" si="0"/>
        <v>9</v>
      </c>
      <c r="B12">
        <v>4</v>
      </c>
      <c r="C12">
        <v>3</v>
      </c>
      <c r="D12">
        <v>3</v>
      </c>
      <c r="E12">
        <v>2</v>
      </c>
      <c r="F12">
        <v>1</v>
      </c>
      <c r="G12">
        <v>0</v>
      </c>
      <c r="H12">
        <v>0</v>
      </c>
      <c r="I12">
        <v>0</v>
      </c>
      <c r="J12">
        <v>0</v>
      </c>
      <c r="K12" t="s">
        <v>2526</v>
      </c>
    </row>
    <row r="13" spans="1:11" ht="12.75">
      <c r="A13">
        <f t="shared" si="0"/>
        <v>10</v>
      </c>
      <c r="B13">
        <v>4</v>
      </c>
      <c r="C13">
        <v>4</v>
      </c>
      <c r="D13">
        <v>3</v>
      </c>
      <c r="E13">
        <v>2</v>
      </c>
      <c r="F13">
        <v>2</v>
      </c>
      <c r="G13">
        <v>0</v>
      </c>
      <c r="H13">
        <v>0</v>
      </c>
      <c r="I13">
        <v>0</v>
      </c>
      <c r="J13">
        <v>0</v>
      </c>
      <c r="K13" t="s">
        <v>2527</v>
      </c>
    </row>
    <row r="14" spans="1:11" ht="12.75">
      <c r="A14">
        <f t="shared" si="0"/>
        <v>11</v>
      </c>
      <c r="B14">
        <v>4</v>
      </c>
      <c r="C14">
        <v>4</v>
      </c>
      <c r="D14">
        <v>4</v>
      </c>
      <c r="E14">
        <v>3</v>
      </c>
      <c r="F14">
        <v>3</v>
      </c>
      <c r="G14">
        <v>0</v>
      </c>
      <c r="H14">
        <v>0</v>
      </c>
      <c r="I14">
        <v>0</v>
      </c>
      <c r="J14">
        <v>0</v>
      </c>
      <c r="K14" t="s">
        <v>2528</v>
      </c>
    </row>
    <row r="15" spans="1:11" ht="12.75">
      <c r="A15">
        <f t="shared" si="0"/>
        <v>12</v>
      </c>
      <c r="B15">
        <v>4</v>
      </c>
      <c r="C15">
        <v>4</v>
      </c>
      <c r="D15">
        <v>4</v>
      </c>
      <c r="E15">
        <v>4</v>
      </c>
      <c r="F15">
        <v>4</v>
      </c>
      <c r="G15">
        <v>1</v>
      </c>
      <c r="H15">
        <v>0</v>
      </c>
      <c r="I15">
        <v>0</v>
      </c>
      <c r="J15">
        <v>0</v>
      </c>
      <c r="K15" t="s">
        <v>2529</v>
      </c>
    </row>
    <row r="16" spans="1:11" ht="12.75">
      <c r="A16">
        <f t="shared" si="0"/>
        <v>13</v>
      </c>
      <c r="B16">
        <v>5</v>
      </c>
      <c r="C16">
        <v>5</v>
      </c>
      <c r="D16">
        <v>5</v>
      </c>
      <c r="E16">
        <v>4</v>
      </c>
      <c r="F16">
        <v>4</v>
      </c>
      <c r="G16">
        <v>2</v>
      </c>
      <c r="H16">
        <v>0</v>
      </c>
      <c r="I16">
        <v>0</v>
      </c>
      <c r="J16">
        <v>0</v>
      </c>
      <c r="K16" t="s">
        <v>2530</v>
      </c>
    </row>
    <row r="17" spans="1:11" ht="12.75">
      <c r="A17">
        <f t="shared" si="0"/>
        <v>14</v>
      </c>
      <c r="B17">
        <v>5</v>
      </c>
      <c r="C17">
        <v>5</v>
      </c>
      <c r="D17">
        <v>5</v>
      </c>
      <c r="E17">
        <v>4</v>
      </c>
      <c r="F17">
        <v>4</v>
      </c>
      <c r="G17">
        <v>2</v>
      </c>
      <c r="H17">
        <v>1</v>
      </c>
      <c r="I17">
        <v>0</v>
      </c>
      <c r="J17">
        <v>0</v>
      </c>
      <c r="K17" t="s">
        <v>2531</v>
      </c>
    </row>
    <row r="18" spans="1:11" ht="12.75">
      <c r="A18">
        <f t="shared" si="0"/>
        <v>15</v>
      </c>
      <c r="B18">
        <v>5</v>
      </c>
      <c r="C18">
        <v>5</v>
      </c>
      <c r="D18">
        <v>5</v>
      </c>
      <c r="E18">
        <v>5</v>
      </c>
      <c r="F18">
        <v>5</v>
      </c>
      <c r="G18">
        <v>2</v>
      </c>
      <c r="H18">
        <v>1</v>
      </c>
      <c r="I18">
        <v>0</v>
      </c>
      <c r="J18">
        <v>0</v>
      </c>
      <c r="K18" t="s">
        <v>2532</v>
      </c>
    </row>
    <row r="19" spans="1:11" ht="12.75">
      <c r="A19">
        <f t="shared" si="0"/>
        <v>16</v>
      </c>
      <c r="B19">
        <v>5</v>
      </c>
      <c r="C19">
        <v>5</v>
      </c>
      <c r="D19">
        <v>5</v>
      </c>
      <c r="E19">
        <v>5</v>
      </c>
      <c r="F19">
        <v>5</v>
      </c>
      <c r="G19">
        <v>3</v>
      </c>
      <c r="H19">
        <v>2</v>
      </c>
      <c r="I19">
        <v>1</v>
      </c>
      <c r="J19">
        <v>0</v>
      </c>
      <c r="K19" t="s">
        <v>2533</v>
      </c>
    </row>
    <row r="20" spans="1:11" ht="12.75">
      <c r="A20">
        <f t="shared" si="0"/>
        <v>17</v>
      </c>
      <c r="B20">
        <v>5</v>
      </c>
      <c r="C20">
        <v>5</v>
      </c>
      <c r="D20">
        <v>5</v>
      </c>
      <c r="E20">
        <v>5</v>
      </c>
      <c r="F20">
        <v>5</v>
      </c>
      <c r="G20">
        <v>3</v>
      </c>
      <c r="H20">
        <v>3</v>
      </c>
      <c r="I20">
        <v>2</v>
      </c>
      <c r="J20">
        <v>0</v>
      </c>
      <c r="K20" t="s">
        <v>2534</v>
      </c>
    </row>
    <row r="21" spans="1:11" ht="12.75">
      <c r="A21">
        <f t="shared" si="0"/>
        <v>18</v>
      </c>
      <c r="B21">
        <v>5</v>
      </c>
      <c r="C21">
        <v>5</v>
      </c>
      <c r="D21">
        <v>5</v>
      </c>
      <c r="E21">
        <v>5</v>
      </c>
      <c r="F21">
        <v>5</v>
      </c>
      <c r="G21">
        <v>3</v>
      </c>
      <c r="H21">
        <v>3</v>
      </c>
      <c r="I21">
        <v>2</v>
      </c>
      <c r="J21">
        <v>1</v>
      </c>
      <c r="K21" t="s">
        <v>2535</v>
      </c>
    </row>
    <row r="22" spans="1:11" ht="12.75">
      <c r="A22">
        <f t="shared" si="0"/>
        <v>19</v>
      </c>
      <c r="B22">
        <v>5</v>
      </c>
      <c r="C22">
        <v>5</v>
      </c>
      <c r="D22">
        <v>5</v>
      </c>
      <c r="E22">
        <v>5</v>
      </c>
      <c r="F22">
        <v>5</v>
      </c>
      <c r="G22">
        <v>3</v>
      </c>
      <c r="H22">
        <v>3</v>
      </c>
      <c r="I22">
        <v>3</v>
      </c>
      <c r="J22">
        <v>1</v>
      </c>
      <c r="K22" t="s">
        <v>2536</v>
      </c>
    </row>
    <row r="23" spans="1:11" ht="12.75">
      <c r="A23">
        <f t="shared" si="0"/>
        <v>20</v>
      </c>
      <c r="B23">
        <v>5</v>
      </c>
      <c r="C23">
        <v>5</v>
      </c>
      <c r="D23">
        <v>5</v>
      </c>
      <c r="E23">
        <v>5</v>
      </c>
      <c r="F23">
        <v>5</v>
      </c>
      <c r="G23">
        <v>4</v>
      </c>
      <c r="H23">
        <v>3</v>
      </c>
      <c r="I23">
        <v>3</v>
      </c>
      <c r="J23">
        <v>2</v>
      </c>
      <c r="K23" t="s">
        <v>2537</v>
      </c>
    </row>
    <row r="26" spans="2:19" ht="12.75">
      <c r="B26" t="s">
        <v>266</v>
      </c>
      <c r="C26" s="546" t="s">
        <v>267</v>
      </c>
      <c r="D26" s="546"/>
      <c r="E26" s="546" t="s">
        <v>247</v>
      </c>
      <c r="F26" s="546"/>
      <c r="G26" s="546"/>
      <c r="H26" s="546"/>
      <c r="I26" s="221"/>
      <c r="J26" t="s">
        <v>2500</v>
      </c>
      <c r="K26">
        <v>1</v>
      </c>
      <c r="L26">
        <v>2</v>
      </c>
      <c r="M26">
        <v>3</v>
      </c>
      <c r="N26">
        <v>4</v>
      </c>
      <c r="O26">
        <v>5</v>
      </c>
      <c r="P26">
        <v>6</v>
      </c>
      <c r="Q26">
        <v>7</v>
      </c>
      <c r="R26">
        <v>8</v>
      </c>
      <c r="S26">
        <v>9</v>
      </c>
    </row>
    <row r="27" spans="1:9" ht="12.75">
      <c r="A27">
        <f>A26+1</f>
        <v>1</v>
      </c>
      <c r="B27" s="114" t="s">
        <v>924</v>
      </c>
      <c r="C27" s="198"/>
      <c r="D27" s="198"/>
      <c r="E27" s="198"/>
      <c r="F27" s="198"/>
      <c r="G27" s="198"/>
      <c r="H27" s="198"/>
      <c r="I27" s="10"/>
    </row>
    <row r="28" spans="1:9" ht="12.75">
      <c r="A28">
        <f aca="true" t="shared" si="1" ref="A28:A51">A27+1</f>
        <v>2</v>
      </c>
      <c r="B28" t="s">
        <v>2501</v>
      </c>
      <c r="C28" s="198" t="s">
        <v>139</v>
      </c>
      <c r="D28" s="198"/>
      <c r="E28" s="198" t="s">
        <v>2502</v>
      </c>
      <c r="F28" s="198"/>
      <c r="G28" s="198"/>
      <c r="H28" s="198"/>
      <c r="I28" s="10"/>
    </row>
    <row r="29" spans="1:9" ht="12.75">
      <c r="A29">
        <f t="shared" si="1"/>
        <v>3</v>
      </c>
      <c r="B29" t="s">
        <v>2503</v>
      </c>
      <c r="C29" s="198"/>
      <c r="D29" s="198"/>
      <c r="E29" s="198" t="s">
        <v>257</v>
      </c>
      <c r="F29" s="198" t="s">
        <v>249</v>
      </c>
      <c r="G29" s="198"/>
      <c r="H29" s="198"/>
      <c r="I29" s="10"/>
    </row>
    <row r="30" spans="1:10" ht="12.75">
      <c r="A30">
        <f t="shared" si="1"/>
        <v>4</v>
      </c>
      <c r="B30" t="s">
        <v>2504</v>
      </c>
      <c r="C30" s="198"/>
      <c r="D30" s="198"/>
      <c r="E30" s="198" t="s">
        <v>257</v>
      </c>
      <c r="F30" s="198" t="s">
        <v>249</v>
      </c>
      <c r="G30" s="198"/>
      <c r="H30" s="198"/>
      <c r="I30" s="10"/>
      <c r="J30" t="s">
        <v>2505</v>
      </c>
    </row>
    <row r="31" spans="1:9" ht="12.75">
      <c r="A31">
        <f t="shared" si="1"/>
        <v>5</v>
      </c>
      <c r="B31" t="s">
        <v>245</v>
      </c>
      <c r="C31" s="198" t="s">
        <v>246</v>
      </c>
      <c r="D31" s="198"/>
      <c r="E31" s="198" t="s">
        <v>248</v>
      </c>
      <c r="F31" s="198" t="s">
        <v>249</v>
      </c>
      <c r="G31" s="198"/>
      <c r="H31" s="198"/>
      <c r="I31" s="10"/>
    </row>
    <row r="32" spans="1:9" ht="12.75">
      <c r="A32">
        <f t="shared" si="1"/>
        <v>6</v>
      </c>
      <c r="B32" t="s">
        <v>250</v>
      </c>
      <c r="C32" s="198" t="s">
        <v>251</v>
      </c>
      <c r="D32" s="198" t="s">
        <v>252</v>
      </c>
      <c r="E32" s="198" t="s">
        <v>253</v>
      </c>
      <c r="F32" s="198" t="s">
        <v>254</v>
      </c>
      <c r="G32" s="198" t="s">
        <v>255</v>
      </c>
      <c r="H32" s="198"/>
      <c r="I32" s="10"/>
    </row>
    <row r="33" spans="1:9" ht="12.75">
      <c r="A33">
        <f t="shared" si="1"/>
        <v>7</v>
      </c>
      <c r="B33" t="s">
        <v>2506</v>
      </c>
      <c r="C33" s="198"/>
      <c r="D33" s="198"/>
      <c r="E33" s="198"/>
      <c r="F33" s="198"/>
      <c r="G33" s="198"/>
      <c r="H33" s="198"/>
      <c r="I33" s="10"/>
    </row>
    <row r="34" spans="1:19" ht="12.75">
      <c r="A34">
        <f t="shared" si="1"/>
        <v>8</v>
      </c>
      <c r="B34" t="s">
        <v>256</v>
      </c>
      <c r="C34" s="198" t="s">
        <v>249</v>
      </c>
      <c r="D34" s="198"/>
      <c r="E34" s="198" t="s">
        <v>254</v>
      </c>
      <c r="F34" s="198" t="s">
        <v>255</v>
      </c>
      <c r="G34" s="198" t="s">
        <v>246</v>
      </c>
      <c r="H34" s="198" t="s">
        <v>257</v>
      </c>
      <c r="I34" s="10"/>
      <c r="J34" t="s">
        <v>249</v>
      </c>
      <c r="K34">
        <v>1</v>
      </c>
      <c r="L34">
        <v>1</v>
      </c>
      <c r="M34">
        <v>1</v>
      </c>
      <c r="N34">
        <v>1</v>
      </c>
      <c r="O34">
        <v>1</v>
      </c>
      <c r="P34">
        <v>1</v>
      </c>
      <c r="Q34">
        <v>1</v>
      </c>
      <c r="R34">
        <v>1</v>
      </c>
      <c r="S34">
        <v>1</v>
      </c>
    </row>
    <row r="35" spans="1:9" ht="12.75">
      <c r="A35">
        <f t="shared" si="1"/>
        <v>9</v>
      </c>
      <c r="B35" t="s">
        <v>2507</v>
      </c>
      <c r="C35" s="198" t="s">
        <v>246</v>
      </c>
      <c r="D35" s="198"/>
      <c r="E35" s="198" t="s">
        <v>249</v>
      </c>
      <c r="F35" s="198" t="s">
        <v>248</v>
      </c>
      <c r="G35" s="198" t="s">
        <v>265</v>
      </c>
      <c r="H35" s="198"/>
      <c r="I35" s="10"/>
    </row>
    <row r="36" spans="1:9" ht="12.75">
      <c r="A36">
        <f t="shared" si="1"/>
        <v>10</v>
      </c>
      <c r="B36" t="s">
        <v>2508</v>
      </c>
      <c r="C36" s="198" t="s">
        <v>252</v>
      </c>
      <c r="D36" s="198"/>
      <c r="E36" s="198" t="s">
        <v>248</v>
      </c>
      <c r="F36" s="198" t="s">
        <v>265</v>
      </c>
      <c r="G36" s="198" t="s">
        <v>254</v>
      </c>
      <c r="H36" s="198" t="s">
        <v>255</v>
      </c>
      <c r="I36" s="10"/>
    </row>
    <row r="37" spans="1:9" ht="12.75">
      <c r="A37">
        <f t="shared" si="1"/>
        <v>11</v>
      </c>
      <c r="B37" t="s">
        <v>2509</v>
      </c>
      <c r="C37" s="198" t="s">
        <v>257</v>
      </c>
      <c r="D37" s="198"/>
      <c r="E37" s="198" t="s">
        <v>259</v>
      </c>
      <c r="F37" s="198" t="s">
        <v>260</v>
      </c>
      <c r="G37" s="198" t="s">
        <v>249</v>
      </c>
      <c r="H37" s="198" t="s">
        <v>248</v>
      </c>
      <c r="I37" s="10"/>
    </row>
    <row r="38" spans="1:9" ht="12.75">
      <c r="A38">
        <f t="shared" si="1"/>
        <v>12</v>
      </c>
      <c r="B38" t="s">
        <v>2510</v>
      </c>
      <c r="C38" s="198" t="s">
        <v>265</v>
      </c>
      <c r="D38" s="198"/>
      <c r="E38" s="198" t="s">
        <v>251</v>
      </c>
      <c r="F38" s="198" t="s">
        <v>252</v>
      </c>
      <c r="G38" s="198" t="s">
        <v>246</v>
      </c>
      <c r="H38" s="198"/>
      <c r="I38" s="10"/>
    </row>
    <row r="39" spans="1:9" ht="12.75">
      <c r="A39">
        <f t="shared" si="1"/>
        <v>13</v>
      </c>
      <c r="B39" s="222" t="s">
        <v>2511</v>
      </c>
      <c r="C39" s="198" t="s">
        <v>254</v>
      </c>
      <c r="D39" s="198" t="s">
        <v>255</v>
      </c>
      <c r="E39" s="198" t="s">
        <v>251</v>
      </c>
      <c r="F39" s="198" t="s">
        <v>252</v>
      </c>
      <c r="G39" s="198" t="s">
        <v>259</v>
      </c>
      <c r="H39" s="198" t="s">
        <v>260</v>
      </c>
      <c r="I39" s="10" t="s">
        <v>249</v>
      </c>
    </row>
    <row r="40" spans="1:9" ht="12.75">
      <c r="A40">
        <f t="shared" si="1"/>
        <v>14</v>
      </c>
      <c r="B40" t="s">
        <v>2512</v>
      </c>
      <c r="C40" s="198" t="s">
        <v>248</v>
      </c>
      <c r="D40" s="198"/>
      <c r="E40" s="198" t="s">
        <v>257</v>
      </c>
      <c r="F40" s="198" t="s">
        <v>246</v>
      </c>
      <c r="G40" s="10" t="s">
        <v>251</v>
      </c>
      <c r="H40" s="198" t="s">
        <v>252</v>
      </c>
      <c r="I40" s="198"/>
    </row>
    <row r="41" spans="1:9" ht="12.75">
      <c r="A41">
        <f t="shared" si="1"/>
        <v>15</v>
      </c>
      <c r="B41" t="s">
        <v>188</v>
      </c>
      <c r="C41" s="198"/>
      <c r="D41" s="198"/>
      <c r="E41" s="198"/>
      <c r="F41" s="198"/>
      <c r="G41" s="198"/>
      <c r="H41" s="198"/>
      <c r="I41" s="10"/>
    </row>
    <row r="42" spans="1:9" ht="12.75">
      <c r="A42">
        <f t="shared" si="1"/>
        <v>16</v>
      </c>
      <c r="B42" t="s">
        <v>2513</v>
      </c>
      <c r="C42" s="198"/>
      <c r="D42" s="198"/>
      <c r="E42" s="198" t="s">
        <v>259</v>
      </c>
      <c r="F42" s="198" t="s">
        <v>260</v>
      </c>
      <c r="G42" s="198" t="s">
        <v>246</v>
      </c>
      <c r="H42" s="198"/>
      <c r="I42" s="10"/>
    </row>
    <row r="43" spans="1:9" ht="12.75">
      <c r="A43">
        <f t="shared" si="1"/>
        <v>17</v>
      </c>
      <c r="B43" t="s">
        <v>2514</v>
      </c>
      <c r="C43" s="198"/>
      <c r="D43" s="198"/>
      <c r="E43" s="198" t="s">
        <v>257</v>
      </c>
      <c r="F43" s="198" t="s">
        <v>254</v>
      </c>
      <c r="G43" s="198" t="s">
        <v>255</v>
      </c>
      <c r="H43" s="198" t="s">
        <v>251</v>
      </c>
      <c r="I43" s="10" t="s">
        <v>252</v>
      </c>
    </row>
    <row r="44" spans="1:9" ht="12.75">
      <c r="A44">
        <f t="shared" si="1"/>
        <v>18</v>
      </c>
      <c r="B44" t="s">
        <v>258</v>
      </c>
      <c r="C44" s="198" t="s">
        <v>257</v>
      </c>
      <c r="D44" s="198"/>
      <c r="E44" s="198" t="s">
        <v>249</v>
      </c>
      <c r="F44" s="198" t="s">
        <v>259</v>
      </c>
      <c r="G44" s="198" t="s">
        <v>260</v>
      </c>
      <c r="H44" s="198"/>
      <c r="I44" s="10"/>
    </row>
    <row r="45" spans="1:9" ht="12.75">
      <c r="A45">
        <f t="shared" si="1"/>
        <v>19</v>
      </c>
      <c r="B45" t="s">
        <v>2515</v>
      </c>
      <c r="C45" s="198"/>
      <c r="D45" s="198"/>
      <c r="E45" s="198" t="s">
        <v>257</v>
      </c>
      <c r="F45" s="198"/>
      <c r="G45" s="198"/>
      <c r="H45" s="198"/>
      <c r="I45" s="10"/>
    </row>
    <row r="46" spans="1:9" ht="12.75">
      <c r="A46">
        <f t="shared" si="1"/>
        <v>20</v>
      </c>
      <c r="B46" t="s">
        <v>261</v>
      </c>
      <c r="C46" s="198" t="s">
        <v>265</v>
      </c>
      <c r="D46" s="198"/>
      <c r="E46" s="198" t="s">
        <v>251</v>
      </c>
      <c r="F46" s="198" t="s">
        <v>252</v>
      </c>
      <c r="G46" s="198"/>
      <c r="H46" s="198"/>
      <c r="I46" s="10"/>
    </row>
    <row r="47" spans="1:9" ht="12.75">
      <c r="A47">
        <f t="shared" si="1"/>
        <v>21</v>
      </c>
      <c r="B47" t="s">
        <v>262</v>
      </c>
      <c r="C47" s="198" t="s">
        <v>254</v>
      </c>
      <c r="D47" s="198" t="s">
        <v>255</v>
      </c>
      <c r="E47" s="198" t="s">
        <v>251</v>
      </c>
      <c r="F47" s="198" t="s">
        <v>252</v>
      </c>
      <c r="G47" s="198" t="s">
        <v>259</v>
      </c>
      <c r="H47" s="198" t="s">
        <v>260</v>
      </c>
      <c r="I47" s="10"/>
    </row>
    <row r="48" spans="1:9" ht="12.75">
      <c r="A48">
        <f t="shared" si="1"/>
        <v>22</v>
      </c>
      <c r="B48" t="s">
        <v>2516</v>
      </c>
      <c r="C48" s="198"/>
      <c r="D48" s="198"/>
      <c r="E48" s="198"/>
      <c r="F48" s="198"/>
      <c r="G48" s="198"/>
      <c r="H48" s="198"/>
      <c r="I48" s="10"/>
    </row>
    <row r="49" spans="1:9" ht="12.75">
      <c r="A49">
        <f t="shared" si="1"/>
        <v>23</v>
      </c>
      <c r="B49" t="s">
        <v>263</v>
      </c>
      <c r="C49" s="198" t="s">
        <v>248</v>
      </c>
      <c r="D49" s="198"/>
      <c r="E49" s="198" t="s">
        <v>246</v>
      </c>
      <c r="F49" s="198" t="s">
        <v>257</v>
      </c>
      <c r="G49" s="198"/>
      <c r="H49" s="198"/>
      <c r="I49" s="10"/>
    </row>
    <row r="50" spans="1:9" ht="12.75">
      <c r="A50">
        <f t="shared" si="1"/>
        <v>24</v>
      </c>
      <c r="B50" t="s">
        <v>2517</v>
      </c>
      <c r="C50" s="198"/>
      <c r="D50" s="198"/>
      <c r="E50" s="198"/>
      <c r="F50" s="198"/>
      <c r="G50" s="198"/>
      <c r="H50" s="198"/>
      <c r="I50" s="10"/>
    </row>
    <row r="51" spans="1:9" ht="12.75">
      <c r="A51">
        <f t="shared" si="1"/>
        <v>25</v>
      </c>
      <c r="B51" t="s">
        <v>264</v>
      </c>
      <c r="C51" s="10" t="s">
        <v>259</v>
      </c>
      <c r="D51" s="10" t="s">
        <v>260</v>
      </c>
      <c r="E51" s="10" t="s">
        <v>254</v>
      </c>
      <c r="F51" s="10" t="s">
        <v>255</v>
      </c>
      <c r="G51" s="10" t="s">
        <v>257</v>
      </c>
      <c r="H51" s="10"/>
      <c r="I51" s="10"/>
    </row>
    <row r="53" spans="2:9" ht="12.75">
      <c r="B53" s="75" t="s">
        <v>2483</v>
      </c>
      <c r="C53" s="76" t="s">
        <v>132</v>
      </c>
      <c r="D53" s="76" t="s">
        <v>133</v>
      </c>
      <c r="E53" s="76" t="s">
        <v>134</v>
      </c>
      <c r="F53" s="76" t="s">
        <v>135</v>
      </c>
      <c r="G53" s="76" t="s">
        <v>136</v>
      </c>
      <c r="H53" s="76" t="s">
        <v>1855</v>
      </c>
      <c r="I53" s="76"/>
    </row>
    <row r="54" spans="1:9" ht="12.75">
      <c r="A54">
        <f>A52+1</f>
        <v>1</v>
      </c>
      <c r="B54" s="1">
        <v>9</v>
      </c>
      <c r="C54" s="2" t="s">
        <v>59</v>
      </c>
      <c r="D54" s="2" t="s">
        <v>60</v>
      </c>
      <c r="E54" s="3">
        <v>0.35</v>
      </c>
      <c r="F54" s="2" t="s">
        <v>61</v>
      </c>
      <c r="G54" s="2" t="s">
        <v>2498</v>
      </c>
      <c r="H54" s="2" t="s">
        <v>1848</v>
      </c>
      <c r="I54" s="2" t="s">
        <v>2075</v>
      </c>
    </row>
    <row r="55" spans="1:9" ht="12.75">
      <c r="A55">
        <f aca="true" t="shared" si="2" ref="A55:A70">A54+1</f>
        <v>2</v>
      </c>
      <c r="B55" s="1">
        <v>10</v>
      </c>
      <c r="C55" s="2" t="s">
        <v>59</v>
      </c>
      <c r="D55" s="2" t="s">
        <v>37</v>
      </c>
      <c r="E55" s="3">
        <v>0.4</v>
      </c>
      <c r="F55" s="2" t="s">
        <v>62</v>
      </c>
      <c r="G55" s="2" t="s">
        <v>2498</v>
      </c>
      <c r="H55" s="2" t="s">
        <v>1848</v>
      </c>
      <c r="I55" s="2" t="s">
        <v>2076</v>
      </c>
    </row>
    <row r="56" spans="1:9" ht="12.75">
      <c r="A56">
        <f t="shared" si="2"/>
        <v>3</v>
      </c>
      <c r="B56" s="1">
        <v>11</v>
      </c>
      <c r="C56" s="2" t="s">
        <v>59</v>
      </c>
      <c r="D56" s="2" t="s">
        <v>37</v>
      </c>
      <c r="E56" s="3">
        <v>0.45</v>
      </c>
      <c r="F56" s="2" t="s">
        <v>62</v>
      </c>
      <c r="G56" s="2" t="s">
        <v>2498</v>
      </c>
      <c r="H56" s="2" t="s">
        <v>1848</v>
      </c>
      <c r="I56" s="2" t="s">
        <v>2077</v>
      </c>
    </row>
    <row r="57" spans="1:9" ht="12.75">
      <c r="A57">
        <f t="shared" si="2"/>
        <v>4</v>
      </c>
      <c r="B57" s="1">
        <v>12</v>
      </c>
      <c r="C57" s="2" t="s">
        <v>48</v>
      </c>
      <c r="D57" s="2" t="s">
        <v>61</v>
      </c>
      <c r="E57" s="3">
        <v>0.5</v>
      </c>
      <c r="F57" s="2" t="s">
        <v>62</v>
      </c>
      <c r="G57" s="2" t="s">
        <v>2498</v>
      </c>
      <c r="H57" s="2" t="s">
        <v>1848</v>
      </c>
      <c r="I57" s="2" t="s">
        <v>2078</v>
      </c>
    </row>
    <row r="58" spans="1:9" ht="12.75">
      <c r="A58">
        <f t="shared" si="2"/>
        <v>5</v>
      </c>
      <c r="B58" s="1">
        <v>13</v>
      </c>
      <c r="C58" s="2" t="s">
        <v>48</v>
      </c>
      <c r="D58" s="2" t="s">
        <v>61</v>
      </c>
      <c r="E58" s="3">
        <v>0.55</v>
      </c>
      <c r="F58" s="2" t="s">
        <v>64</v>
      </c>
      <c r="G58" s="2" t="s">
        <v>2498</v>
      </c>
      <c r="H58" s="2" t="s">
        <v>1848</v>
      </c>
      <c r="I58" s="2" t="s">
        <v>2079</v>
      </c>
    </row>
    <row r="59" spans="1:9" ht="12.75">
      <c r="A59">
        <f t="shared" si="2"/>
        <v>6</v>
      </c>
      <c r="B59" s="1">
        <v>14</v>
      </c>
      <c r="C59" s="2" t="s">
        <v>60</v>
      </c>
      <c r="D59" s="2" t="s">
        <v>62</v>
      </c>
      <c r="E59" s="3">
        <v>0.6</v>
      </c>
      <c r="F59" s="2" t="s">
        <v>64</v>
      </c>
      <c r="G59" s="2" t="s">
        <v>2498</v>
      </c>
      <c r="H59" s="2" t="s">
        <v>1848</v>
      </c>
      <c r="I59" s="2" t="s">
        <v>2080</v>
      </c>
    </row>
    <row r="60" spans="1:9" ht="12.75">
      <c r="A60">
        <f t="shared" si="2"/>
        <v>7</v>
      </c>
      <c r="B60" s="1">
        <v>15</v>
      </c>
      <c r="C60" s="2" t="s">
        <v>60</v>
      </c>
      <c r="D60" s="2" t="s">
        <v>62</v>
      </c>
      <c r="E60" s="3">
        <v>0.65</v>
      </c>
      <c r="F60" s="2" t="s">
        <v>51</v>
      </c>
      <c r="G60" s="2" t="s">
        <v>2498</v>
      </c>
      <c r="H60" s="2" t="s">
        <v>1848</v>
      </c>
      <c r="I60" s="2" t="s">
        <v>2081</v>
      </c>
    </row>
    <row r="61" spans="1:9" ht="12.75">
      <c r="A61">
        <f t="shared" si="2"/>
        <v>8</v>
      </c>
      <c r="B61" s="1">
        <v>16</v>
      </c>
      <c r="C61" s="2" t="s">
        <v>37</v>
      </c>
      <c r="D61" s="2" t="s">
        <v>63</v>
      </c>
      <c r="E61" s="3">
        <v>0.7</v>
      </c>
      <c r="F61" s="2" t="s">
        <v>51</v>
      </c>
      <c r="G61" s="2" t="s">
        <v>2498</v>
      </c>
      <c r="H61" s="2" t="s">
        <v>1848</v>
      </c>
      <c r="I61" s="2" t="s">
        <v>2082</v>
      </c>
    </row>
    <row r="62" spans="1:9" ht="12.75">
      <c r="A62">
        <f t="shared" si="2"/>
        <v>9</v>
      </c>
      <c r="B62" s="1">
        <v>17</v>
      </c>
      <c r="C62" s="2" t="s">
        <v>61</v>
      </c>
      <c r="D62" s="2" t="s">
        <v>63</v>
      </c>
      <c r="E62" s="3">
        <v>0.75</v>
      </c>
      <c r="F62" s="2" t="s">
        <v>72</v>
      </c>
      <c r="G62" s="2" t="s">
        <v>2498</v>
      </c>
      <c r="H62" s="2" t="s">
        <v>1848</v>
      </c>
      <c r="I62" s="2" t="s">
        <v>2083</v>
      </c>
    </row>
    <row r="63" spans="1:9" ht="12.75">
      <c r="A63">
        <f t="shared" si="2"/>
        <v>10</v>
      </c>
      <c r="B63" s="1">
        <v>18</v>
      </c>
      <c r="C63" s="2" t="s">
        <v>62</v>
      </c>
      <c r="D63" s="2" t="s">
        <v>64</v>
      </c>
      <c r="E63" s="3">
        <v>0.85</v>
      </c>
      <c r="F63" s="2" t="s">
        <v>138</v>
      </c>
      <c r="G63" s="2" t="s">
        <v>2498</v>
      </c>
      <c r="H63" s="2" t="s">
        <v>1848</v>
      </c>
      <c r="I63" s="2" t="s">
        <v>2084</v>
      </c>
    </row>
    <row r="64" spans="1:9" ht="12.75">
      <c r="A64">
        <f t="shared" si="2"/>
        <v>11</v>
      </c>
      <c r="B64" s="4">
        <v>19</v>
      </c>
      <c r="C64" s="2" t="s">
        <v>63</v>
      </c>
      <c r="D64" s="2" t="s">
        <v>64</v>
      </c>
      <c r="E64" s="3">
        <v>0.95</v>
      </c>
      <c r="F64" s="2" t="s">
        <v>139</v>
      </c>
      <c r="G64" s="8" t="s">
        <v>140</v>
      </c>
      <c r="H64" s="2" t="s">
        <v>1848</v>
      </c>
      <c r="I64" s="2" t="s">
        <v>2085</v>
      </c>
    </row>
    <row r="65" spans="1:9" ht="12.75">
      <c r="A65">
        <f t="shared" si="2"/>
        <v>12</v>
      </c>
      <c r="B65" s="4">
        <v>20</v>
      </c>
      <c r="C65" s="2" t="s">
        <v>64</v>
      </c>
      <c r="D65" s="2" t="s">
        <v>64</v>
      </c>
      <c r="E65" s="3">
        <v>0.96</v>
      </c>
      <c r="F65" s="2" t="s">
        <v>139</v>
      </c>
      <c r="G65" s="8" t="s">
        <v>141</v>
      </c>
      <c r="H65" s="2" t="s">
        <v>1848</v>
      </c>
      <c r="I65" s="2" t="s">
        <v>2086</v>
      </c>
    </row>
    <row r="66" spans="1:9" ht="12.75">
      <c r="A66">
        <f t="shared" si="2"/>
        <v>13</v>
      </c>
      <c r="B66" s="4">
        <v>21</v>
      </c>
      <c r="C66" s="2" t="s">
        <v>38</v>
      </c>
      <c r="D66" s="2" t="s">
        <v>64</v>
      </c>
      <c r="E66" s="3">
        <v>0.97</v>
      </c>
      <c r="F66" s="2" t="s">
        <v>139</v>
      </c>
      <c r="G66" s="8" t="s">
        <v>142</v>
      </c>
      <c r="H66" s="2" t="s">
        <v>1848</v>
      </c>
      <c r="I66" s="2" t="s">
        <v>2087</v>
      </c>
    </row>
    <row r="67" spans="1:9" ht="12.75">
      <c r="A67">
        <f t="shared" si="2"/>
        <v>14</v>
      </c>
      <c r="B67" s="4">
        <v>22</v>
      </c>
      <c r="C67" s="2" t="s">
        <v>51</v>
      </c>
      <c r="D67" s="2" t="s">
        <v>64</v>
      </c>
      <c r="E67" s="3">
        <v>0.98</v>
      </c>
      <c r="F67" s="2" t="s">
        <v>139</v>
      </c>
      <c r="G67" s="8" t="s">
        <v>143</v>
      </c>
      <c r="H67" s="2" t="s">
        <v>1848</v>
      </c>
      <c r="I67" s="2" t="s">
        <v>2088</v>
      </c>
    </row>
    <row r="68" spans="1:9" ht="12.75">
      <c r="A68">
        <f t="shared" si="2"/>
        <v>15</v>
      </c>
      <c r="B68" s="4">
        <v>23</v>
      </c>
      <c r="C68" s="2" t="s">
        <v>65</v>
      </c>
      <c r="D68" s="2" t="s">
        <v>64</v>
      </c>
      <c r="E68" s="3">
        <v>0.99</v>
      </c>
      <c r="F68" s="2" t="s">
        <v>139</v>
      </c>
      <c r="G68" s="8" t="s">
        <v>144</v>
      </c>
      <c r="H68" s="2" t="s">
        <v>1848</v>
      </c>
      <c r="I68" s="2" t="s">
        <v>2105</v>
      </c>
    </row>
    <row r="69" spans="1:9" ht="12.75">
      <c r="A69">
        <f t="shared" si="2"/>
        <v>16</v>
      </c>
      <c r="B69" s="4">
        <v>24</v>
      </c>
      <c r="C69" s="2" t="s">
        <v>68</v>
      </c>
      <c r="D69" s="2" t="s">
        <v>64</v>
      </c>
      <c r="E69" s="3">
        <v>1</v>
      </c>
      <c r="F69" s="2" t="s">
        <v>139</v>
      </c>
      <c r="G69" s="8" t="s">
        <v>145</v>
      </c>
      <c r="H69" s="2" t="s">
        <v>1848</v>
      </c>
      <c r="I69" s="2" t="s">
        <v>2106</v>
      </c>
    </row>
    <row r="70" spans="1:9" ht="12.75">
      <c r="A70">
        <f t="shared" si="2"/>
        <v>17</v>
      </c>
      <c r="B70" s="4">
        <v>25</v>
      </c>
      <c r="C70" s="2" t="s">
        <v>39</v>
      </c>
      <c r="D70" s="2" t="s">
        <v>64</v>
      </c>
      <c r="E70" s="3">
        <v>1</v>
      </c>
      <c r="F70" s="2" t="s">
        <v>139</v>
      </c>
      <c r="G70" s="8" t="s">
        <v>146</v>
      </c>
      <c r="H70" s="2" t="s">
        <v>1848</v>
      </c>
      <c r="I70" s="2" t="s">
        <v>2107</v>
      </c>
    </row>
  </sheetData>
  <sheetProtection password="C795" sheet="1" objects="1" scenarios="1"/>
  <mergeCells count="2">
    <mergeCell ref="C26:D26"/>
    <mergeCell ref="E26:H26"/>
  </mergeCells>
  <printOptions/>
  <pageMargins left="0.75" right="0.75" top="1" bottom="1" header="0.4921259845" footer="0.4921259845"/>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codeName="Tabelle6"/>
  <dimension ref="A1:L77"/>
  <sheetViews>
    <sheetView workbookViewId="0" topLeftCell="A1">
      <selection activeCell="A3" sqref="A3"/>
    </sheetView>
  </sheetViews>
  <sheetFormatPr defaultColWidth="11.421875" defaultRowHeight="12.75"/>
  <sheetData>
    <row r="1" spans="1:12" ht="12.75">
      <c r="A1" s="9"/>
      <c r="B1" s="273" t="s">
        <v>244</v>
      </c>
      <c r="C1" s="273"/>
      <c r="D1" s="273"/>
      <c r="E1" s="273"/>
      <c r="F1" s="273"/>
      <c r="G1" s="273"/>
      <c r="H1" s="273"/>
      <c r="I1" s="273"/>
      <c r="J1" s="273"/>
      <c r="K1" s="209"/>
      <c r="L1" s="209"/>
    </row>
    <row r="2" spans="1:11" ht="12.75">
      <c r="A2" s="276" t="s">
        <v>2073</v>
      </c>
      <c r="B2" s="277">
        <v>1</v>
      </c>
      <c r="C2" s="277">
        <v>2</v>
      </c>
      <c r="D2" s="277">
        <v>3</v>
      </c>
      <c r="E2" s="277">
        <v>4</v>
      </c>
      <c r="F2" s="277">
        <v>5</v>
      </c>
      <c r="G2" s="277">
        <v>6</v>
      </c>
      <c r="H2" s="277">
        <v>7</v>
      </c>
      <c r="I2" s="276" t="s">
        <v>275</v>
      </c>
      <c r="K2" s="206"/>
    </row>
    <row r="3" spans="1:9" ht="12.75">
      <c r="A3" s="270">
        <v>1</v>
      </c>
      <c r="B3" s="270">
        <v>1</v>
      </c>
      <c r="C3" s="270">
        <v>0</v>
      </c>
      <c r="D3" s="270">
        <v>0</v>
      </c>
      <c r="E3" s="270">
        <v>0</v>
      </c>
      <c r="F3" s="270">
        <v>0</v>
      </c>
      <c r="G3" s="270">
        <v>0</v>
      </c>
      <c r="H3" s="270">
        <v>0</v>
      </c>
      <c r="I3" s="270" t="s">
        <v>2518</v>
      </c>
    </row>
    <row r="4" spans="1:9" ht="12.75">
      <c r="A4" s="270">
        <f>A3+1</f>
        <v>2</v>
      </c>
      <c r="B4" s="270">
        <v>2</v>
      </c>
      <c r="C4" s="270">
        <v>0</v>
      </c>
      <c r="D4" s="270">
        <v>0</v>
      </c>
      <c r="E4" s="270">
        <v>0</v>
      </c>
      <c r="F4" s="270">
        <v>0</v>
      </c>
      <c r="G4" s="270">
        <v>0</v>
      </c>
      <c r="H4" s="270">
        <v>0</v>
      </c>
      <c r="I4" s="270" t="s">
        <v>2519</v>
      </c>
    </row>
    <row r="5" spans="1:9" ht="12.75">
      <c r="A5" s="270">
        <f aca="true" t="shared" si="0" ref="A5:A22">A4+1</f>
        <v>3</v>
      </c>
      <c r="B5" s="270">
        <v>2</v>
      </c>
      <c r="C5" s="270">
        <v>1</v>
      </c>
      <c r="D5" s="270">
        <v>0</v>
      </c>
      <c r="E5" s="270">
        <v>0</v>
      </c>
      <c r="F5" s="270">
        <v>0</v>
      </c>
      <c r="G5" s="270">
        <v>0</v>
      </c>
      <c r="H5" s="270">
        <v>0</v>
      </c>
      <c r="I5" s="270" t="s">
        <v>2520</v>
      </c>
    </row>
    <row r="6" spans="1:9" ht="12.75">
      <c r="A6" s="270">
        <f t="shared" si="0"/>
        <v>4</v>
      </c>
      <c r="B6" s="270">
        <v>3</v>
      </c>
      <c r="C6" s="270">
        <v>2</v>
      </c>
      <c r="D6" s="270">
        <v>0</v>
      </c>
      <c r="E6" s="270">
        <v>0</v>
      </c>
      <c r="F6" s="270">
        <v>0</v>
      </c>
      <c r="G6" s="270">
        <v>0</v>
      </c>
      <c r="H6" s="270">
        <v>0</v>
      </c>
      <c r="I6" s="270" t="s">
        <v>2521</v>
      </c>
    </row>
    <row r="7" spans="1:9" ht="12.75">
      <c r="A7" s="270">
        <f t="shared" si="0"/>
        <v>5</v>
      </c>
      <c r="B7" s="270">
        <v>4</v>
      </c>
      <c r="C7" s="270">
        <v>2</v>
      </c>
      <c r="D7" s="270">
        <v>1</v>
      </c>
      <c r="E7" s="270">
        <v>0</v>
      </c>
      <c r="F7" s="270">
        <v>0</v>
      </c>
      <c r="G7" s="270">
        <v>0</v>
      </c>
      <c r="H7" s="270">
        <v>0</v>
      </c>
      <c r="I7" s="270" t="s">
        <v>2522</v>
      </c>
    </row>
    <row r="8" spans="1:9" ht="12.75">
      <c r="A8" s="270">
        <f t="shared" si="0"/>
        <v>6</v>
      </c>
      <c r="B8" s="270">
        <v>4</v>
      </c>
      <c r="C8" s="270">
        <v>2</v>
      </c>
      <c r="D8" s="270">
        <v>2</v>
      </c>
      <c r="E8" s="270">
        <v>0</v>
      </c>
      <c r="F8" s="270">
        <v>0</v>
      </c>
      <c r="G8" s="270">
        <v>0</v>
      </c>
      <c r="H8" s="270">
        <v>0</v>
      </c>
      <c r="I8" s="270" t="s">
        <v>2523</v>
      </c>
    </row>
    <row r="9" spans="1:9" ht="12.75">
      <c r="A9" s="270">
        <f t="shared" si="0"/>
        <v>7</v>
      </c>
      <c r="B9" s="270">
        <v>4</v>
      </c>
      <c r="C9" s="270">
        <v>3</v>
      </c>
      <c r="D9" s="270">
        <v>2</v>
      </c>
      <c r="E9" s="270">
        <v>1</v>
      </c>
      <c r="F9" s="270">
        <v>0</v>
      </c>
      <c r="G9" s="270">
        <v>0</v>
      </c>
      <c r="H9" s="270">
        <v>0</v>
      </c>
      <c r="I9" s="270" t="s">
        <v>2524</v>
      </c>
    </row>
    <row r="10" spans="1:9" ht="12.75">
      <c r="A10" s="270">
        <f>A9+1</f>
        <v>8</v>
      </c>
      <c r="B10" s="270">
        <v>4</v>
      </c>
      <c r="C10" s="270">
        <v>3</v>
      </c>
      <c r="D10" s="270">
        <v>3</v>
      </c>
      <c r="E10" s="270">
        <v>2</v>
      </c>
      <c r="F10" s="270">
        <v>0</v>
      </c>
      <c r="G10" s="270">
        <v>0</v>
      </c>
      <c r="H10" s="270">
        <v>0</v>
      </c>
      <c r="I10" s="270" t="s">
        <v>2525</v>
      </c>
    </row>
    <row r="11" spans="1:9" ht="12.75">
      <c r="A11" s="270">
        <f t="shared" si="0"/>
        <v>9</v>
      </c>
      <c r="B11" s="270">
        <v>4</v>
      </c>
      <c r="C11" s="270">
        <v>3</v>
      </c>
      <c r="D11" s="270">
        <v>3</v>
      </c>
      <c r="E11" s="270">
        <v>2</v>
      </c>
      <c r="F11" s="270">
        <v>1</v>
      </c>
      <c r="G11" s="270">
        <v>0</v>
      </c>
      <c r="H11" s="270">
        <v>0</v>
      </c>
      <c r="I11" s="270" t="s">
        <v>2526</v>
      </c>
    </row>
    <row r="12" spans="1:9" ht="12.75">
      <c r="A12" s="270">
        <f t="shared" si="0"/>
        <v>10</v>
      </c>
      <c r="B12" s="270">
        <v>4</v>
      </c>
      <c r="C12" s="270">
        <v>4</v>
      </c>
      <c r="D12" s="270">
        <v>3</v>
      </c>
      <c r="E12" s="270">
        <v>2</v>
      </c>
      <c r="F12" s="270">
        <v>2</v>
      </c>
      <c r="G12" s="270">
        <v>0</v>
      </c>
      <c r="H12" s="270">
        <v>0</v>
      </c>
      <c r="I12" s="270" t="s">
        <v>2527</v>
      </c>
    </row>
    <row r="13" spans="1:9" ht="12.75">
      <c r="A13" s="270">
        <f t="shared" si="0"/>
        <v>11</v>
      </c>
      <c r="B13" s="270">
        <v>4</v>
      </c>
      <c r="C13" s="270">
        <v>4</v>
      </c>
      <c r="D13" s="270">
        <v>4</v>
      </c>
      <c r="E13" s="270">
        <v>3</v>
      </c>
      <c r="F13" s="270">
        <v>3</v>
      </c>
      <c r="G13" s="270">
        <v>0</v>
      </c>
      <c r="H13" s="270">
        <v>0</v>
      </c>
      <c r="I13" s="270" t="s">
        <v>2528</v>
      </c>
    </row>
    <row r="14" spans="1:9" ht="12.75">
      <c r="A14" s="270">
        <f t="shared" si="0"/>
        <v>12</v>
      </c>
      <c r="B14" s="270">
        <v>4</v>
      </c>
      <c r="C14" s="270">
        <v>4</v>
      </c>
      <c r="D14" s="270">
        <v>4</v>
      </c>
      <c r="E14" s="270">
        <v>4</v>
      </c>
      <c r="F14" s="270">
        <v>4</v>
      </c>
      <c r="G14" s="270">
        <v>1</v>
      </c>
      <c r="H14" s="270">
        <v>0</v>
      </c>
      <c r="I14" s="270" t="s">
        <v>2529</v>
      </c>
    </row>
    <row r="15" spans="1:9" ht="12.75">
      <c r="A15" s="270">
        <f t="shared" si="0"/>
        <v>13</v>
      </c>
      <c r="B15" s="270">
        <v>5</v>
      </c>
      <c r="C15" s="270">
        <v>5</v>
      </c>
      <c r="D15" s="270">
        <v>5</v>
      </c>
      <c r="E15" s="270">
        <v>4</v>
      </c>
      <c r="F15" s="270">
        <v>4</v>
      </c>
      <c r="G15" s="270">
        <v>2</v>
      </c>
      <c r="H15" s="270">
        <v>0</v>
      </c>
      <c r="I15" s="270" t="s">
        <v>2530</v>
      </c>
    </row>
    <row r="16" spans="1:9" ht="12.75">
      <c r="A16" s="270">
        <f t="shared" si="0"/>
        <v>14</v>
      </c>
      <c r="B16" s="270">
        <v>5</v>
      </c>
      <c r="C16" s="270">
        <v>5</v>
      </c>
      <c r="D16" s="270">
        <v>5</v>
      </c>
      <c r="E16" s="270">
        <v>4</v>
      </c>
      <c r="F16" s="270">
        <v>4</v>
      </c>
      <c r="G16" s="270">
        <v>2</v>
      </c>
      <c r="H16" s="270">
        <v>1</v>
      </c>
      <c r="I16" s="270" t="s">
        <v>2531</v>
      </c>
    </row>
    <row r="17" spans="1:9" ht="12.75">
      <c r="A17" s="270">
        <f t="shared" si="0"/>
        <v>15</v>
      </c>
      <c r="B17" s="270">
        <v>5</v>
      </c>
      <c r="C17" s="270">
        <v>5</v>
      </c>
      <c r="D17" s="270">
        <v>5</v>
      </c>
      <c r="E17" s="270">
        <v>5</v>
      </c>
      <c r="F17" s="270">
        <v>5</v>
      </c>
      <c r="G17" s="270">
        <v>2</v>
      </c>
      <c r="H17" s="270">
        <v>1</v>
      </c>
      <c r="I17" s="270" t="s">
        <v>2532</v>
      </c>
    </row>
    <row r="18" spans="1:9" ht="12.75">
      <c r="A18" s="270">
        <f t="shared" si="0"/>
        <v>16</v>
      </c>
      <c r="B18" s="270">
        <v>5</v>
      </c>
      <c r="C18" s="270">
        <v>5</v>
      </c>
      <c r="D18" s="270">
        <v>5</v>
      </c>
      <c r="E18" s="270">
        <v>5</v>
      </c>
      <c r="F18" s="270">
        <v>5</v>
      </c>
      <c r="G18" s="270">
        <v>3</v>
      </c>
      <c r="H18" s="270">
        <v>2</v>
      </c>
      <c r="I18" s="270" t="s">
        <v>2533</v>
      </c>
    </row>
    <row r="19" spans="1:9" ht="12.75">
      <c r="A19" s="270">
        <f t="shared" si="0"/>
        <v>17</v>
      </c>
      <c r="B19" s="270">
        <v>5</v>
      </c>
      <c r="C19" s="270">
        <v>5</v>
      </c>
      <c r="D19" s="270">
        <v>5</v>
      </c>
      <c r="E19" s="270">
        <v>5</v>
      </c>
      <c r="F19" s="270">
        <v>5</v>
      </c>
      <c r="G19" s="270">
        <v>3</v>
      </c>
      <c r="H19" s="270">
        <v>3</v>
      </c>
      <c r="I19" s="270" t="s">
        <v>2534</v>
      </c>
    </row>
    <row r="20" spans="1:9" ht="12.75">
      <c r="A20" s="270">
        <f t="shared" si="0"/>
        <v>18</v>
      </c>
      <c r="B20" s="270">
        <v>5</v>
      </c>
      <c r="C20" s="270">
        <v>5</v>
      </c>
      <c r="D20" s="270">
        <v>5</v>
      </c>
      <c r="E20" s="270">
        <v>5</v>
      </c>
      <c r="F20" s="270">
        <v>5</v>
      </c>
      <c r="G20" s="270">
        <v>3</v>
      </c>
      <c r="H20" s="270">
        <v>3</v>
      </c>
      <c r="I20" s="270" t="s">
        <v>2535</v>
      </c>
    </row>
    <row r="21" spans="1:9" ht="12.75">
      <c r="A21" s="270">
        <f t="shared" si="0"/>
        <v>19</v>
      </c>
      <c r="B21" s="270">
        <v>5</v>
      </c>
      <c r="C21" s="270">
        <v>5</v>
      </c>
      <c r="D21" s="270">
        <v>5</v>
      </c>
      <c r="E21" s="270">
        <v>5</v>
      </c>
      <c r="F21" s="270">
        <v>5</v>
      </c>
      <c r="G21" s="270">
        <v>3</v>
      </c>
      <c r="H21" s="270">
        <v>3</v>
      </c>
      <c r="I21" s="270" t="s">
        <v>2536</v>
      </c>
    </row>
    <row r="22" spans="1:9" ht="12.75">
      <c r="A22" s="270">
        <f t="shared" si="0"/>
        <v>20</v>
      </c>
      <c r="B22" s="270">
        <v>5</v>
      </c>
      <c r="C22" s="270">
        <v>5</v>
      </c>
      <c r="D22" s="270">
        <v>5</v>
      </c>
      <c r="E22" s="270">
        <v>5</v>
      </c>
      <c r="F22" s="270">
        <v>5</v>
      </c>
      <c r="G22" s="270">
        <v>4</v>
      </c>
      <c r="H22" s="270">
        <v>3</v>
      </c>
      <c r="I22" s="270" t="s">
        <v>2537</v>
      </c>
    </row>
    <row r="24" ht="12.75">
      <c r="A24" t="s">
        <v>31</v>
      </c>
    </row>
    <row r="25" spans="1:12" ht="12.75">
      <c r="A25" s="271" t="s">
        <v>243</v>
      </c>
      <c r="B25" s="271" t="s">
        <v>2483</v>
      </c>
      <c r="C25" s="272" t="s">
        <v>147</v>
      </c>
      <c r="D25" s="274"/>
      <c r="E25" s="272" t="s">
        <v>148</v>
      </c>
      <c r="F25" s="272"/>
      <c r="G25" s="274"/>
      <c r="H25" s="272" t="s">
        <v>149</v>
      </c>
      <c r="I25" s="274"/>
      <c r="J25" s="275" t="s">
        <v>303</v>
      </c>
      <c r="K25" s="216"/>
      <c r="L25" s="216" t="s">
        <v>133</v>
      </c>
    </row>
    <row r="26" spans="1:12" ht="12.75">
      <c r="A26" s="1">
        <v>1</v>
      </c>
      <c r="B26" s="1">
        <v>9</v>
      </c>
      <c r="C26" s="2" t="s">
        <v>119</v>
      </c>
      <c r="E26" s="2" t="s">
        <v>119</v>
      </c>
      <c r="F26" s="2"/>
      <c r="G26" s="270"/>
      <c r="H26" s="3">
        <v>0.2</v>
      </c>
      <c r="J26" t="s">
        <v>14</v>
      </c>
      <c r="L26" s="270">
        <v>5</v>
      </c>
    </row>
    <row r="27" spans="1:12" ht="12.75">
      <c r="A27" s="1">
        <f aca="true" t="shared" si="1" ref="A27:A42">A26+1</f>
        <v>2</v>
      </c>
      <c r="B27" s="1">
        <v>10</v>
      </c>
      <c r="C27" s="2" t="s">
        <v>119</v>
      </c>
      <c r="E27" s="2" t="s">
        <v>119</v>
      </c>
      <c r="F27" s="2"/>
      <c r="G27" s="270"/>
      <c r="H27" s="3">
        <v>0.15</v>
      </c>
      <c r="J27" t="s">
        <v>15</v>
      </c>
      <c r="L27" s="270">
        <v>5</v>
      </c>
    </row>
    <row r="28" spans="1:12" ht="12.75">
      <c r="A28" s="1">
        <f t="shared" si="1"/>
        <v>3</v>
      </c>
      <c r="B28" s="1">
        <v>11</v>
      </c>
      <c r="C28" s="2" t="s">
        <v>119</v>
      </c>
      <c r="E28" s="2" t="s">
        <v>119</v>
      </c>
      <c r="F28" s="2"/>
      <c r="G28" s="270"/>
      <c r="H28" s="3">
        <v>0.1</v>
      </c>
      <c r="J28" t="s">
        <v>16</v>
      </c>
      <c r="L28" s="270">
        <v>5</v>
      </c>
    </row>
    <row r="29" spans="1:12" ht="12.75">
      <c r="A29" s="1">
        <f t="shared" si="1"/>
        <v>4</v>
      </c>
      <c r="B29" s="1">
        <v>12</v>
      </c>
      <c r="C29" s="2" t="s">
        <v>119</v>
      </c>
      <c r="E29" s="2" t="s">
        <v>119</v>
      </c>
      <c r="F29" s="2"/>
      <c r="G29" s="270"/>
      <c r="H29" s="3">
        <v>0.05</v>
      </c>
      <c r="J29" t="s">
        <v>17</v>
      </c>
      <c r="L29" s="270">
        <v>5</v>
      </c>
    </row>
    <row r="30" spans="1:12" ht="12.75">
      <c r="A30" s="1">
        <f t="shared" si="1"/>
        <v>5</v>
      </c>
      <c r="B30" s="1">
        <v>13</v>
      </c>
      <c r="C30" s="2" t="s">
        <v>119</v>
      </c>
      <c r="E30" s="2" t="s">
        <v>36</v>
      </c>
      <c r="F30" s="2"/>
      <c r="G30" s="270"/>
      <c r="H30" s="3">
        <v>0</v>
      </c>
      <c r="J30" t="s">
        <v>18</v>
      </c>
      <c r="L30" s="270">
        <v>5</v>
      </c>
    </row>
    <row r="31" spans="1:12" ht="12.75">
      <c r="A31" s="1">
        <f t="shared" si="1"/>
        <v>6</v>
      </c>
      <c r="B31" s="1">
        <v>14</v>
      </c>
      <c r="C31" s="2" t="s">
        <v>119</v>
      </c>
      <c r="E31" s="2" t="s">
        <v>36</v>
      </c>
      <c r="F31" s="2"/>
      <c r="G31" s="270"/>
      <c r="H31" s="3">
        <v>0</v>
      </c>
      <c r="J31" t="s">
        <v>19</v>
      </c>
      <c r="L31" s="270">
        <v>5</v>
      </c>
    </row>
    <row r="32" spans="1:12" ht="12.75">
      <c r="A32" s="1">
        <f t="shared" si="1"/>
        <v>7</v>
      </c>
      <c r="B32" s="1">
        <v>15</v>
      </c>
      <c r="C32" s="2" t="s">
        <v>2496</v>
      </c>
      <c r="E32" s="2" t="s">
        <v>59</v>
      </c>
      <c r="F32" s="2"/>
      <c r="G32" s="270"/>
      <c r="H32" s="3">
        <v>0</v>
      </c>
      <c r="J32" t="s">
        <v>20</v>
      </c>
      <c r="L32" s="270">
        <v>5</v>
      </c>
    </row>
    <row r="33" spans="1:12" ht="12.75">
      <c r="A33" s="1">
        <f t="shared" si="1"/>
        <v>8</v>
      </c>
      <c r="B33" s="1">
        <v>16</v>
      </c>
      <c r="C33" s="2" t="s">
        <v>2499</v>
      </c>
      <c r="E33" s="2" t="s">
        <v>59</v>
      </c>
      <c r="F33" s="2"/>
      <c r="G33" s="270"/>
      <c r="H33" s="3">
        <v>0</v>
      </c>
      <c r="J33" t="s">
        <v>21</v>
      </c>
      <c r="L33" s="270">
        <v>5</v>
      </c>
    </row>
    <row r="34" spans="1:12" ht="12.75">
      <c r="A34" s="1">
        <f t="shared" si="1"/>
        <v>9</v>
      </c>
      <c r="B34" s="1">
        <v>17</v>
      </c>
      <c r="C34" s="2" t="s">
        <v>35</v>
      </c>
      <c r="E34" s="2" t="s">
        <v>48</v>
      </c>
      <c r="F34" s="2"/>
      <c r="G34" s="270"/>
      <c r="H34" s="3">
        <v>0</v>
      </c>
      <c r="J34" t="s">
        <v>22</v>
      </c>
      <c r="L34" s="270">
        <v>6</v>
      </c>
    </row>
    <row r="35" spans="1:12" ht="12.75">
      <c r="A35" s="1">
        <f t="shared" si="1"/>
        <v>10</v>
      </c>
      <c r="B35" s="1">
        <v>18</v>
      </c>
      <c r="C35" s="2" t="s">
        <v>69</v>
      </c>
      <c r="E35" s="2" t="s">
        <v>60</v>
      </c>
      <c r="F35" s="2"/>
      <c r="G35" s="270"/>
      <c r="H35" s="3">
        <v>0</v>
      </c>
      <c r="J35" t="s">
        <v>23</v>
      </c>
      <c r="L35" s="270">
        <v>7</v>
      </c>
    </row>
    <row r="36" spans="1:12" ht="12.75">
      <c r="A36" s="1">
        <f t="shared" si="1"/>
        <v>11</v>
      </c>
      <c r="B36" s="1">
        <v>19</v>
      </c>
      <c r="C36" s="2" t="s">
        <v>69</v>
      </c>
      <c r="E36" s="2" t="s">
        <v>60</v>
      </c>
      <c r="F36" s="2" t="s">
        <v>36</v>
      </c>
      <c r="G36" s="270">
        <v>4</v>
      </c>
      <c r="H36" s="3">
        <v>0</v>
      </c>
      <c r="J36" t="s">
        <v>24</v>
      </c>
      <c r="L36" s="270">
        <v>7</v>
      </c>
    </row>
    <row r="37" spans="1:12" ht="12.75">
      <c r="A37" s="1">
        <f t="shared" si="1"/>
        <v>12</v>
      </c>
      <c r="B37" s="1">
        <v>20</v>
      </c>
      <c r="C37" s="2" t="s">
        <v>69</v>
      </c>
      <c r="E37" s="2" t="s">
        <v>60</v>
      </c>
      <c r="F37" s="2" t="s">
        <v>59</v>
      </c>
      <c r="G37" s="270">
        <v>4</v>
      </c>
      <c r="H37" s="3">
        <v>0</v>
      </c>
      <c r="J37" t="s">
        <v>25</v>
      </c>
      <c r="L37" s="270">
        <v>7</v>
      </c>
    </row>
    <row r="38" spans="1:12" ht="12.75">
      <c r="A38" s="1">
        <f t="shared" si="1"/>
        <v>13</v>
      </c>
      <c r="B38" s="1">
        <v>21</v>
      </c>
      <c r="C38" s="2" t="s">
        <v>69</v>
      </c>
      <c r="E38" s="2" t="s">
        <v>37</v>
      </c>
      <c r="F38" s="2" t="s">
        <v>48</v>
      </c>
      <c r="G38" s="270">
        <v>5</v>
      </c>
      <c r="H38" s="3">
        <v>0</v>
      </c>
      <c r="J38" t="s">
        <v>26</v>
      </c>
      <c r="L38" s="270">
        <v>7</v>
      </c>
    </row>
    <row r="39" spans="1:12" ht="12.75">
      <c r="A39" s="1">
        <f t="shared" si="1"/>
        <v>14</v>
      </c>
      <c r="B39" s="1">
        <v>22</v>
      </c>
      <c r="C39" s="2" t="s">
        <v>69</v>
      </c>
      <c r="E39" s="2" t="s">
        <v>37</v>
      </c>
      <c r="F39" s="2" t="s">
        <v>60</v>
      </c>
      <c r="G39" s="270">
        <v>5</v>
      </c>
      <c r="H39" s="3">
        <v>0</v>
      </c>
      <c r="J39" t="s">
        <v>27</v>
      </c>
      <c r="L39" s="270">
        <v>7</v>
      </c>
    </row>
    <row r="40" spans="1:12" ht="12.75">
      <c r="A40" s="1">
        <f t="shared" si="1"/>
        <v>15</v>
      </c>
      <c r="B40" s="1">
        <v>23</v>
      </c>
      <c r="C40" s="2" t="s">
        <v>69</v>
      </c>
      <c r="E40" s="2" t="s">
        <v>37</v>
      </c>
      <c r="F40" s="2" t="s">
        <v>37</v>
      </c>
      <c r="G40" s="270">
        <v>5</v>
      </c>
      <c r="H40" s="3">
        <v>0</v>
      </c>
      <c r="J40" t="s">
        <v>28</v>
      </c>
      <c r="L40" s="270">
        <v>7</v>
      </c>
    </row>
    <row r="41" spans="1:12" ht="12.75">
      <c r="A41" s="1">
        <f t="shared" si="1"/>
        <v>16</v>
      </c>
      <c r="B41" s="1">
        <v>24</v>
      </c>
      <c r="C41" s="2" t="s">
        <v>69</v>
      </c>
      <c r="E41" s="2" t="s">
        <v>61</v>
      </c>
      <c r="F41" s="2" t="s">
        <v>61</v>
      </c>
      <c r="G41" s="270">
        <v>6</v>
      </c>
      <c r="H41" s="3">
        <v>0</v>
      </c>
      <c r="J41" t="s">
        <v>29</v>
      </c>
      <c r="L41" s="270">
        <v>7</v>
      </c>
    </row>
    <row r="42" spans="1:12" ht="12.75">
      <c r="A42" s="1">
        <f t="shared" si="1"/>
        <v>17</v>
      </c>
      <c r="B42" s="1">
        <v>25</v>
      </c>
      <c r="C42" s="2" t="s">
        <v>69</v>
      </c>
      <c r="E42" s="2" t="s">
        <v>62</v>
      </c>
      <c r="F42" s="2" t="s">
        <v>62</v>
      </c>
      <c r="G42" s="270">
        <v>7</v>
      </c>
      <c r="H42" s="3">
        <v>0</v>
      </c>
      <c r="J42" t="s">
        <v>30</v>
      </c>
      <c r="L42" s="270">
        <v>7</v>
      </c>
    </row>
    <row r="44" ht="12.75">
      <c r="A44" t="s">
        <v>32</v>
      </c>
    </row>
    <row r="45" spans="1:10" ht="12.75">
      <c r="A45" s="271" t="s">
        <v>243</v>
      </c>
      <c r="B45" s="271" t="s">
        <v>2483</v>
      </c>
      <c r="C45" s="272" t="s">
        <v>147</v>
      </c>
      <c r="D45" s="274"/>
      <c r="E45" s="272" t="s">
        <v>148</v>
      </c>
      <c r="F45" s="272"/>
      <c r="G45" s="274"/>
      <c r="H45" s="272" t="s">
        <v>149</v>
      </c>
      <c r="I45" s="274"/>
      <c r="J45" s="275" t="s">
        <v>303</v>
      </c>
    </row>
    <row r="46" spans="1:10" ht="12.75">
      <c r="A46" s="1">
        <v>1</v>
      </c>
      <c r="B46" s="1">
        <v>12</v>
      </c>
      <c r="C46" s="2" t="s">
        <v>119</v>
      </c>
      <c r="E46" s="2" t="s">
        <v>119</v>
      </c>
      <c r="F46" s="2"/>
      <c r="G46" s="270"/>
      <c r="H46" s="3">
        <v>0.05</v>
      </c>
      <c r="J46" t="s">
        <v>17</v>
      </c>
    </row>
    <row r="47" spans="1:10" ht="12.75">
      <c r="A47" s="1">
        <f aca="true" t="shared" si="2" ref="A47:A59">A46+1</f>
        <v>2</v>
      </c>
      <c r="B47" s="1">
        <v>13</v>
      </c>
      <c r="C47" s="2" t="s">
        <v>119</v>
      </c>
      <c r="E47" s="2" t="s">
        <v>36</v>
      </c>
      <c r="F47" s="2"/>
      <c r="G47" s="270"/>
      <c r="H47" s="3">
        <v>0</v>
      </c>
      <c r="J47" t="s">
        <v>18</v>
      </c>
    </row>
    <row r="48" spans="1:10" ht="12.75">
      <c r="A48" s="1">
        <f t="shared" si="2"/>
        <v>3</v>
      </c>
      <c r="B48" s="1">
        <v>14</v>
      </c>
      <c r="C48" s="2" t="s">
        <v>119</v>
      </c>
      <c r="E48" s="2" t="s">
        <v>36</v>
      </c>
      <c r="F48" s="2"/>
      <c r="G48" s="270"/>
      <c r="H48" s="3">
        <v>0</v>
      </c>
      <c r="J48" t="s">
        <v>19</v>
      </c>
    </row>
    <row r="49" spans="1:10" ht="12.75">
      <c r="A49" s="1">
        <f t="shared" si="2"/>
        <v>4</v>
      </c>
      <c r="B49" s="1">
        <v>15</v>
      </c>
      <c r="C49" s="2" t="s">
        <v>2496</v>
      </c>
      <c r="E49" s="2" t="s">
        <v>59</v>
      </c>
      <c r="F49" s="2"/>
      <c r="G49" s="270"/>
      <c r="H49" s="3">
        <v>0</v>
      </c>
      <c r="J49" t="s">
        <v>20</v>
      </c>
    </row>
    <row r="50" spans="1:10" ht="12.75">
      <c r="A50" s="1">
        <f t="shared" si="2"/>
        <v>5</v>
      </c>
      <c r="B50" s="1">
        <v>16</v>
      </c>
      <c r="C50" s="2" t="s">
        <v>2499</v>
      </c>
      <c r="E50" s="2" t="s">
        <v>59</v>
      </c>
      <c r="F50" s="2"/>
      <c r="G50" s="270"/>
      <c r="H50" s="3">
        <v>0</v>
      </c>
      <c r="J50" t="s">
        <v>21</v>
      </c>
    </row>
    <row r="51" spans="1:10" ht="12.75">
      <c r="A51" s="1">
        <f t="shared" si="2"/>
        <v>6</v>
      </c>
      <c r="B51" s="1">
        <v>17</v>
      </c>
      <c r="C51" s="2" t="s">
        <v>35</v>
      </c>
      <c r="E51" s="2" t="s">
        <v>48</v>
      </c>
      <c r="F51" s="2"/>
      <c r="G51" s="270"/>
      <c r="H51" s="3">
        <v>0</v>
      </c>
      <c r="J51" t="s">
        <v>22</v>
      </c>
    </row>
    <row r="52" spans="1:10" ht="12.75">
      <c r="A52" s="1">
        <f t="shared" si="2"/>
        <v>7</v>
      </c>
      <c r="B52" s="1">
        <v>18</v>
      </c>
      <c r="C52" s="2" t="s">
        <v>69</v>
      </c>
      <c r="E52" s="2" t="s">
        <v>60</v>
      </c>
      <c r="F52" s="2"/>
      <c r="G52" s="270"/>
      <c r="H52" s="3">
        <v>0</v>
      </c>
      <c r="J52" t="s">
        <v>23</v>
      </c>
    </row>
    <row r="53" spans="1:10" ht="12.75">
      <c r="A53" s="1">
        <f t="shared" si="2"/>
        <v>8</v>
      </c>
      <c r="B53" s="1">
        <v>19</v>
      </c>
      <c r="C53" s="2" t="s">
        <v>69</v>
      </c>
      <c r="E53" s="2" t="s">
        <v>60</v>
      </c>
      <c r="F53" s="2" t="s">
        <v>36</v>
      </c>
      <c r="G53" s="270">
        <v>4</v>
      </c>
      <c r="H53" s="3">
        <v>0</v>
      </c>
      <c r="J53" t="s">
        <v>24</v>
      </c>
    </row>
    <row r="54" spans="1:10" ht="12.75">
      <c r="A54" s="1">
        <f t="shared" si="2"/>
        <v>9</v>
      </c>
      <c r="B54" s="1">
        <v>20</v>
      </c>
      <c r="C54" s="2" t="s">
        <v>69</v>
      </c>
      <c r="E54" s="2" t="s">
        <v>60</v>
      </c>
      <c r="F54" s="2" t="s">
        <v>59</v>
      </c>
      <c r="G54" s="270">
        <v>4</v>
      </c>
      <c r="H54" s="3">
        <v>0</v>
      </c>
      <c r="J54" t="s">
        <v>25</v>
      </c>
    </row>
    <row r="55" spans="1:10" ht="12.75">
      <c r="A55" s="1">
        <f t="shared" si="2"/>
        <v>10</v>
      </c>
      <c r="B55" s="1">
        <v>21</v>
      </c>
      <c r="C55" s="2" t="s">
        <v>69</v>
      </c>
      <c r="E55" s="2" t="s">
        <v>60</v>
      </c>
      <c r="F55" s="2" t="s">
        <v>48</v>
      </c>
      <c r="G55" s="270">
        <v>5</v>
      </c>
      <c r="H55" s="3">
        <v>0</v>
      </c>
      <c r="J55" t="s">
        <v>26</v>
      </c>
    </row>
    <row r="56" spans="1:10" ht="12.75">
      <c r="A56" s="1">
        <f t="shared" si="2"/>
        <v>11</v>
      </c>
      <c r="B56" s="1">
        <v>22</v>
      </c>
      <c r="C56" s="2" t="s">
        <v>69</v>
      </c>
      <c r="E56" s="2" t="s">
        <v>60</v>
      </c>
      <c r="F56" s="2" t="s">
        <v>60</v>
      </c>
      <c r="G56" s="270">
        <v>5</v>
      </c>
      <c r="H56" s="3">
        <v>0</v>
      </c>
      <c r="J56" t="s">
        <v>27</v>
      </c>
    </row>
    <row r="57" spans="1:10" ht="12.75">
      <c r="A57" s="1">
        <f t="shared" si="2"/>
        <v>12</v>
      </c>
      <c r="B57" s="1">
        <v>23</v>
      </c>
      <c r="C57" s="2" t="s">
        <v>69</v>
      </c>
      <c r="E57" s="2" t="s">
        <v>60</v>
      </c>
      <c r="F57" s="2" t="s">
        <v>37</v>
      </c>
      <c r="G57" s="270">
        <v>5</v>
      </c>
      <c r="H57" s="3">
        <v>0</v>
      </c>
      <c r="J57" t="s">
        <v>28</v>
      </c>
    </row>
    <row r="58" spans="1:10" ht="12.75">
      <c r="A58" s="1">
        <f t="shared" si="2"/>
        <v>13</v>
      </c>
      <c r="B58" s="1">
        <v>24</v>
      </c>
      <c r="C58" s="2" t="s">
        <v>69</v>
      </c>
      <c r="E58" s="2" t="s">
        <v>60</v>
      </c>
      <c r="F58" s="2" t="s">
        <v>61</v>
      </c>
      <c r="G58" s="270">
        <v>6</v>
      </c>
      <c r="H58" s="3">
        <v>0</v>
      </c>
      <c r="J58" t="s">
        <v>29</v>
      </c>
    </row>
    <row r="59" spans="1:10" ht="12.75">
      <c r="A59" s="1">
        <f t="shared" si="2"/>
        <v>14</v>
      </c>
      <c r="B59" s="1">
        <v>25</v>
      </c>
      <c r="C59" s="2" t="s">
        <v>69</v>
      </c>
      <c r="E59" s="2" t="s">
        <v>60</v>
      </c>
      <c r="F59" s="2" t="s">
        <v>62</v>
      </c>
      <c r="G59" s="270">
        <v>7</v>
      </c>
      <c r="H59" s="3">
        <v>0</v>
      </c>
      <c r="J59" t="s">
        <v>30</v>
      </c>
    </row>
    <row r="61" spans="1:2" ht="12.75">
      <c r="A61" t="s">
        <v>243</v>
      </c>
      <c r="B61" t="s">
        <v>1413</v>
      </c>
    </row>
    <row r="62" spans="1:3" ht="12.75">
      <c r="A62">
        <v>1</v>
      </c>
      <c r="B62" t="s">
        <v>1397</v>
      </c>
      <c r="C62" s="288" t="s">
        <v>1397</v>
      </c>
    </row>
    <row r="63" spans="1:2" ht="12.75">
      <c r="A63">
        <f>A62+1</f>
        <v>2</v>
      </c>
      <c r="B63" t="s">
        <v>1398</v>
      </c>
    </row>
    <row r="64" spans="1:2" ht="12.75">
      <c r="A64">
        <f aca="true" t="shared" si="3" ref="A64:A77">A63+1</f>
        <v>3</v>
      </c>
      <c r="B64" t="s">
        <v>1406</v>
      </c>
    </row>
    <row r="65" spans="1:2" ht="12.75">
      <c r="A65">
        <f t="shared" si="3"/>
        <v>4</v>
      </c>
      <c r="B65" t="s">
        <v>1407</v>
      </c>
    </row>
    <row r="66" spans="1:2" ht="12.75">
      <c r="A66">
        <f t="shared" si="3"/>
        <v>5</v>
      </c>
      <c r="B66" t="s">
        <v>1408</v>
      </c>
    </row>
    <row r="67" spans="1:2" ht="12.75">
      <c r="A67">
        <f t="shared" si="3"/>
        <v>6</v>
      </c>
      <c r="B67" t="s">
        <v>1409</v>
      </c>
    </row>
    <row r="68" spans="1:2" ht="12.75">
      <c r="A68">
        <f t="shared" si="3"/>
        <v>7</v>
      </c>
      <c r="B68" t="s">
        <v>1410</v>
      </c>
    </row>
    <row r="69" spans="1:2" ht="12.75">
      <c r="A69">
        <f t="shared" si="3"/>
        <v>8</v>
      </c>
      <c r="B69" t="s">
        <v>1399</v>
      </c>
    </row>
    <row r="70" spans="1:2" ht="12.75">
      <c r="A70">
        <f t="shared" si="3"/>
        <v>9</v>
      </c>
      <c r="B70" t="s">
        <v>1405</v>
      </c>
    </row>
    <row r="71" spans="1:2" ht="12.75">
      <c r="A71">
        <f t="shared" si="3"/>
        <v>10</v>
      </c>
      <c r="B71" t="s">
        <v>1400</v>
      </c>
    </row>
    <row r="72" spans="1:2" ht="12.75">
      <c r="A72">
        <f t="shared" si="3"/>
        <v>11</v>
      </c>
      <c r="B72" t="s">
        <v>1401</v>
      </c>
    </row>
    <row r="73" spans="1:2" ht="12.75">
      <c r="A73">
        <f t="shared" si="3"/>
        <v>12</v>
      </c>
      <c r="B73" t="s">
        <v>1411</v>
      </c>
    </row>
    <row r="74" spans="1:2" ht="12.75">
      <c r="A74">
        <f t="shared" si="3"/>
        <v>13</v>
      </c>
      <c r="B74" t="s">
        <v>1402</v>
      </c>
    </row>
    <row r="75" spans="1:2" ht="12.75">
      <c r="A75">
        <f t="shared" si="3"/>
        <v>14</v>
      </c>
      <c r="B75" t="s">
        <v>1412</v>
      </c>
    </row>
    <row r="76" spans="1:2" ht="12.75">
      <c r="A76">
        <f t="shared" si="3"/>
        <v>15</v>
      </c>
      <c r="B76" t="s">
        <v>1403</v>
      </c>
    </row>
    <row r="77" spans="1:2" ht="12.75">
      <c r="A77">
        <f t="shared" si="3"/>
        <v>16</v>
      </c>
      <c r="B77" t="s">
        <v>1404</v>
      </c>
    </row>
  </sheetData>
  <sheetProtection password="C795" sheet="1" objects="1" scenarios="1"/>
  <printOptions/>
  <pageMargins left="0.75" right="0.75" top="1" bottom="1"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Tabelle18"/>
  <dimension ref="A2:G173"/>
  <sheetViews>
    <sheetView workbookViewId="0" topLeftCell="A1">
      <selection activeCell="B4" sqref="B4"/>
    </sheetView>
  </sheetViews>
  <sheetFormatPr defaultColWidth="11.421875" defaultRowHeight="12.75"/>
  <cols>
    <col min="1" max="1" width="1.28515625" style="0" customWidth="1"/>
    <col min="2" max="2" width="9.8515625" style="83" customWidth="1"/>
    <col min="3" max="3" width="22.421875" style="0" bestFit="1" customWidth="1"/>
    <col min="4" max="4" width="56.8515625" style="0" bestFit="1" customWidth="1"/>
  </cols>
  <sheetData>
    <row r="1" ht="4.5" customHeight="1"/>
    <row r="2" ht="12.75">
      <c r="B2" s="83" t="s">
        <v>354</v>
      </c>
    </row>
    <row r="3" spans="2:4" ht="12.75">
      <c r="B3" s="83" t="s">
        <v>355</v>
      </c>
      <c r="C3" t="s">
        <v>356</v>
      </c>
      <c r="D3" t="s">
        <v>357</v>
      </c>
    </row>
    <row r="4" spans="1:4" ht="12.75">
      <c r="A4">
        <f>A3+1</f>
        <v>1</v>
      </c>
      <c r="B4" s="83" t="s">
        <v>358</v>
      </c>
      <c r="C4" t="s">
        <v>359</v>
      </c>
      <c r="D4" t="s">
        <v>360</v>
      </c>
    </row>
    <row r="5" spans="1:4" ht="12.75">
      <c r="A5">
        <f aca="true" t="shared" si="0" ref="A5:A28">A4+1</f>
        <v>2</v>
      </c>
      <c r="B5" s="83" t="s">
        <v>361</v>
      </c>
      <c r="C5" t="s">
        <v>362</v>
      </c>
      <c r="D5" t="s">
        <v>363</v>
      </c>
    </row>
    <row r="6" spans="1:4" ht="12.75">
      <c r="A6">
        <f t="shared" si="0"/>
        <v>3</v>
      </c>
      <c r="B6" s="83" t="s">
        <v>364</v>
      </c>
      <c r="C6" t="s">
        <v>365</v>
      </c>
      <c r="D6" t="s">
        <v>366</v>
      </c>
    </row>
    <row r="7" spans="1:4" ht="12.75">
      <c r="A7">
        <f t="shared" si="0"/>
        <v>4</v>
      </c>
      <c r="B7" s="83" t="s">
        <v>367</v>
      </c>
      <c r="C7" t="s">
        <v>368</v>
      </c>
      <c r="D7" t="s">
        <v>369</v>
      </c>
    </row>
    <row r="8" spans="1:4" ht="12.75">
      <c r="A8">
        <f t="shared" si="0"/>
        <v>5</v>
      </c>
      <c r="B8" s="83" t="s">
        <v>370</v>
      </c>
      <c r="C8" t="s">
        <v>1008</v>
      </c>
      <c r="D8" t="s">
        <v>371</v>
      </c>
    </row>
    <row r="9" spans="1:4" ht="12.75">
      <c r="A9">
        <f t="shared" si="0"/>
        <v>6</v>
      </c>
      <c r="B9" s="83" t="s">
        <v>372</v>
      </c>
      <c r="C9" t="s">
        <v>1032</v>
      </c>
      <c r="D9" t="s">
        <v>373</v>
      </c>
    </row>
    <row r="10" spans="1:4" ht="12.75">
      <c r="A10">
        <f t="shared" si="0"/>
        <v>7</v>
      </c>
      <c r="B10" s="83" t="s">
        <v>374</v>
      </c>
      <c r="C10" t="s">
        <v>1063</v>
      </c>
      <c r="D10" t="s">
        <v>375</v>
      </c>
    </row>
    <row r="11" spans="1:4" ht="12.75">
      <c r="A11">
        <f t="shared" si="0"/>
        <v>8</v>
      </c>
      <c r="B11" s="83" t="s">
        <v>376</v>
      </c>
      <c r="C11" t="s">
        <v>377</v>
      </c>
      <c r="D11" t="s">
        <v>378</v>
      </c>
    </row>
    <row r="12" spans="1:4" ht="12.75">
      <c r="A12">
        <f t="shared" si="0"/>
        <v>9</v>
      </c>
      <c r="B12" s="83" t="s">
        <v>379</v>
      </c>
      <c r="C12" t="s">
        <v>380</v>
      </c>
      <c r="D12" t="s">
        <v>381</v>
      </c>
    </row>
    <row r="13" spans="1:4" ht="12.75">
      <c r="A13">
        <f t="shared" si="0"/>
        <v>10</v>
      </c>
      <c r="B13" s="83" t="s">
        <v>382</v>
      </c>
      <c r="C13" t="s">
        <v>1242</v>
      </c>
      <c r="D13" t="s">
        <v>383</v>
      </c>
    </row>
    <row r="14" spans="1:4" ht="12.75">
      <c r="A14">
        <f t="shared" si="0"/>
        <v>11</v>
      </c>
      <c r="B14" s="83" t="s">
        <v>384</v>
      </c>
      <c r="C14" t="s">
        <v>1253</v>
      </c>
      <c r="D14" t="s">
        <v>385</v>
      </c>
    </row>
    <row r="15" spans="1:4" ht="12.75">
      <c r="A15">
        <f t="shared" si="0"/>
        <v>12</v>
      </c>
      <c r="B15" s="83" t="s">
        <v>386</v>
      </c>
      <c r="C15" t="s">
        <v>387</v>
      </c>
      <c r="D15" t="s">
        <v>388</v>
      </c>
    </row>
    <row r="16" spans="1:4" ht="12.75">
      <c r="A16">
        <f t="shared" si="0"/>
        <v>13</v>
      </c>
      <c r="B16" s="83" t="s">
        <v>389</v>
      </c>
      <c r="C16" t="s">
        <v>390</v>
      </c>
      <c r="D16" t="s">
        <v>391</v>
      </c>
    </row>
    <row r="17" spans="1:4" ht="12.75">
      <c r="A17">
        <f t="shared" si="0"/>
        <v>14</v>
      </c>
      <c r="B17" s="83" t="s">
        <v>392</v>
      </c>
      <c r="C17" t="s">
        <v>393</v>
      </c>
      <c r="D17" t="s">
        <v>242</v>
      </c>
    </row>
    <row r="18" spans="1:4" ht="12.75">
      <c r="A18">
        <f t="shared" si="0"/>
        <v>15</v>
      </c>
      <c r="B18" s="83" t="s">
        <v>394</v>
      </c>
      <c r="C18" t="s">
        <v>395</v>
      </c>
      <c r="D18" t="s">
        <v>396</v>
      </c>
    </row>
    <row r="19" spans="1:4" ht="12.75">
      <c r="A19">
        <f t="shared" si="0"/>
        <v>16</v>
      </c>
      <c r="B19" s="83" t="s">
        <v>397</v>
      </c>
      <c r="C19" t="s">
        <v>2010</v>
      </c>
      <c r="D19" t="s">
        <v>398</v>
      </c>
    </row>
    <row r="20" spans="1:4" ht="12.75">
      <c r="A20">
        <f t="shared" si="0"/>
        <v>17</v>
      </c>
      <c r="B20" s="83" t="s">
        <v>399</v>
      </c>
      <c r="C20" t="s">
        <v>400</v>
      </c>
      <c r="D20" t="s">
        <v>401</v>
      </c>
    </row>
    <row r="21" spans="1:4" ht="12.75">
      <c r="A21">
        <f t="shared" si="0"/>
        <v>18</v>
      </c>
      <c r="B21" s="83" t="s">
        <v>402</v>
      </c>
      <c r="C21" t="s">
        <v>2042</v>
      </c>
      <c r="D21" t="s">
        <v>403</v>
      </c>
    </row>
    <row r="22" spans="1:4" ht="12.75">
      <c r="A22">
        <f t="shared" si="0"/>
        <v>19</v>
      </c>
      <c r="B22" s="83" t="s">
        <v>404</v>
      </c>
      <c r="C22" t="s">
        <v>405</v>
      </c>
      <c r="D22" t="s">
        <v>406</v>
      </c>
    </row>
    <row r="23" spans="1:4" ht="12.75">
      <c r="A23">
        <f t="shared" si="0"/>
        <v>20</v>
      </c>
      <c r="B23" s="83" t="s">
        <v>407</v>
      </c>
      <c r="C23" t="s">
        <v>408</v>
      </c>
      <c r="D23" t="s">
        <v>423</v>
      </c>
    </row>
    <row r="24" spans="1:4" ht="12.75">
      <c r="A24">
        <f t="shared" si="0"/>
        <v>21</v>
      </c>
      <c r="B24" s="83" t="s">
        <v>409</v>
      </c>
      <c r="C24" t="s">
        <v>410</v>
      </c>
      <c r="D24" t="s">
        <v>411</v>
      </c>
    </row>
    <row r="25" spans="1:4" ht="12.75">
      <c r="A25">
        <f t="shared" si="0"/>
        <v>22</v>
      </c>
      <c r="B25" s="83" t="s">
        <v>412</v>
      </c>
      <c r="C25" t="s">
        <v>413</v>
      </c>
      <c r="D25" t="s">
        <v>414</v>
      </c>
    </row>
    <row r="26" spans="1:4" ht="12.75">
      <c r="A26">
        <f t="shared" si="0"/>
        <v>23</v>
      </c>
      <c r="B26" s="83" t="s">
        <v>415</v>
      </c>
      <c r="C26" t="s">
        <v>416</v>
      </c>
      <c r="D26" t="s">
        <v>417</v>
      </c>
    </row>
    <row r="27" spans="1:4" ht="12.75">
      <c r="A27">
        <f t="shared" si="0"/>
        <v>24</v>
      </c>
      <c r="B27" s="83" t="s">
        <v>418</v>
      </c>
      <c r="C27" t="s">
        <v>2498</v>
      </c>
      <c r="D27" t="s">
        <v>419</v>
      </c>
    </row>
    <row r="28" spans="1:4" ht="12.75">
      <c r="A28">
        <f t="shared" si="0"/>
        <v>25</v>
      </c>
      <c r="B28" s="83" t="s">
        <v>420</v>
      </c>
      <c r="C28" t="s">
        <v>421</v>
      </c>
      <c r="D28" t="s">
        <v>422</v>
      </c>
    </row>
    <row r="30" spans="2:6" ht="12.75">
      <c r="B30" s="83" t="s">
        <v>184</v>
      </c>
      <c r="C30" t="s">
        <v>1465</v>
      </c>
      <c r="D30" t="s">
        <v>1466</v>
      </c>
      <c r="E30" t="s">
        <v>2200</v>
      </c>
      <c r="F30" t="s">
        <v>1467</v>
      </c>
    </row>
    <row r="31" spans="1:7" ht="12.75">
      <c r="A31">
        <f aca="true" t="shared" si="1" ref="A31:A95">A30+1</f>
        <v>1</v>
      </c>
      <c r="B31" s="83" t="s">
        <v>924</v>
      </c>
      <c r="C31" s="114" t="s">
        <v>924</v>
      </c>
      <c r="D31" s="114" t="s">
        <v>924</v>
      </c>
      <c r="E31" s="114" t="s">
        <v>924</v>
      </c>
      <c r="F31" s="83" t="s">
        <v>924</v>
      </c>
      <c r="G31" s="114" t="s">
        <v>924</v>
      </c>
    </row>
    <row r="32" spans="1:7" ht="12.75">
      <c r="A32">
        <f t="shared" si="1"/>
        <v>2</v>
      </c>
      <c r="B32" s="83" t="s">
        <v>188</v>
      </c>
      <c r="C32" t="s">
        <v>1483</v>
      </c>
      <c r="D32">
        <v>1</v>
      </c>
      <c r="E32" t="s">
        <v>297</v>
      </c>
      <c r="F32" s="83">
        <v>-1</v>
      </c>
      <c r="G32" t="s">
        <v>1874</v>
      </c>
    </row>
    <row r="33" spans="1:7" ht="12.75">
      <c r="A33">
        <f t="shared" si="1"/>
        <v>3</v>
      </c>
      <c r="B33" s="83" t="s">
        <v>1490</v>
      </c>
      <c r="C33" t="s">
        <v>1483</v>
      </c>
      <c r="D33">
        <v>1</v>
      </c>
      <c r="E33" t="s">
        <v>297</v>
      </c>
      <c r="F33" s="83" t="s">
        <v>2494</v>
      </c>
      <c r="G33" t="s">
        <v>1874</v>
      </c>
    </row>
    <row r="34" spans="1:7" ht="12.75">
      <c r="A34">
        <f t="shared" si="1"/>
        <v>4</v>
      </c>
      <c r="B34" s="83" t="s">
        <v>1504</v>
      </c>
      <c r="C34" t="s">
        <v>1483</v>
      </c>
      <c r="D34">
        <v>1</v>
      </c>
      <c r="E34" t="s">
        <v>297</v>
      </c>
      <c r="F34" s="83" t="s">
        <v>2494</v>
      </c>
      <c r="G34" t="s">
        <v>1874</v>
      </c>
    </row>
    <row r="35" spans="1:7" ht="12.75">
      <c r="A35">
        <f t="shared" si="1"/>
        <v>5</v>
      </c>
      <c r="B35" s="83" t="s">
        <v>188</v>
      </c>
      <c r="C35" s="83" t="s">
        <v>1484</v>
      </c>
      <c r="D35">
        <v>2</v>
      </c>
      <c r="E35" t="s">
        <v>297</v>
      </c>
      <c r="F35" s="83">
        <v>0</v>
      </c>
      <c r="G35" t="s">
        <v>1874</v>
      </c>
    </row>
    <row r="36" spans="1:7" ht="12.75">
      <c r="A36">
        <f t="shared" si="1"/>
        <v>6</v>
      </c>
      <c r="B36" s="83" t="s">
        <v>1490</v>
      </c>
      <c r="C36" t="s">
        <v>1484</v>
      </c>
      <c r="D36">
        <v>2</v>
      </c>
      <c r="E36" t="s">
        <v>297</v>
      </c>
      <c r="F36" s="83" t="s">
        <v>119</v>
      </c>
      <c r="G36" t="s">
        <v>1874</v>
      </c>
    </row>
    <row r="37" spans="1:7" ht="12.75">
      <c r="A37">
        <f t="shared" si="1"/>
        <v>7</v>
      </c>
      <c r="B37" s="83" t="s">
        <v>1468</v>
      </c>
      <c r="C37" t="s">
        <v>1469</v>
      </c>
      <c r="D37">
        <v>2</v>
      </c>
      <c r="E37" t="s">
        <v>293</v>
      </c>
      <c r="F37" s="83" t="s">
        <v>119</v>
      </c>
      <c r="G37" t="s">
        <v>1878</v>
      </c>
    </row>
    <row r="38" spans="1:7" ht="12.75">
      <c r="A38">
        <f t="shared" si="1"/>
        <v>8</v>
      </c>
      <c r="B38" s="83" t="s">
        <v>1504</v>
      </c>
      <c r="C38" t="s">
        <v>1469</v>
      </c>
      <c r="D38">
        <v>2</v>
      </c>
      <c r="E38" t="s">
        <v>293</v>
      </c>
      <c r="F38" s="83" t="s">
        <v>119</v>
      </c>
      <c r="G38" t="s">
        <v>1878</v>
      </c>
    </row>
    <row r="39" spans="1:7" ht="12.75">
      <c r="A39">
        <f t="shared" si="1"/>
        <v>9</v>
      </c>
      <c r="B39" s="83" t="s">
        <v>1504</v>
      </c>
      <c r="C39" t="s">
        <v>1495</v>
      </c>
      <c r="D39">
        <v>1</v>
      </c>
      <c r="E39" t="s">
        <v>289</v>
      </c>
      <c r="F39" s="83" t="s">
        <v>119</v>
      </c>
      <c r="G39" t="s">
        <v>1876</v>
      </c>
    </row>
    <row r="40" spans="1:7" ht="12.75">
      <c r="A40">
        <f t="shared" si="1"/>
        <v>10</v>
      </c>
      <c r="B40" s="83" t="s">
        <v>1504</v>
      </c>
      <c r="C40" t="s">
        <v>1496</v>
      </c>
      <c r="D40">
        <v>1</v>
      </c>
      <c r="E40" t="s">
        <v>297</v>
      </c>
      <c r="F40" s="83" t="s">
        <v>2493</v>
      </c>
      <c r="G40" t="s">
        <v>1874</v>
      </c>
    </row>
    <row r="41" spans="1:7" ht="12.75">
      <c r="A41">
        <f t="shared" si="1"/>
        <v>11</v>
      </c>
      <c r="B41" s="83" t="s">
        <v>188</v>
      </c>
      <c r="C41" s="83" t="s">
        <v>571</v>
      </c>
      <c r="D41">
        <v>2</v>
      </c>
      <c r="E41" t="s">
        <v>297</v>
      </c>
      <c r="F41" s="83">
        <v>-3</v>
      </c>
      <c r="G41" t="s">
        <v>1874</v>
      </c>
    </row>
    <row r="42" spans="1:7" ht="12.75">
      <c r="A42">
        <f t="shared" si="1"/>
        <v>12</v>
      </c>
      <c r="B42" s="83" t="s">
        <v>1490</v>
      </c>
      <c r="C42" t="s">
        <v>571</v>
      </c>
      <c r="D42">
        <v>2</v>
      </c>
      <c r="E42" t="s">
        <v>297</v>
      </c>
      <c r="F42" s="83" t="s">
        <v>2492</v>
      </c>
      <c r="G42" t="s">
        <v>1874</v>
      </c>
    </row>
    <row r="43" spans="1:7" ht="12.75">
      <c r="A43">
        <f t="shared" si="1"/>
        <v>13</v>
      </c>
      <c r="B43" s="83" t="s">
        <v>1504</v>
      </c>
      <c r="C43" t="s">
        <v>1505</v>
      </c>
      <c r="D43">
        <v>1</v>
      </c>
      <c r="E43" t="s">
        <v>297</v>
      </c>
      <c r="F43" s="83" t="s">
        <v>119</v>
      </c>
      <c r="G43" t="s">
        <v>1874</v>
      </c>
    </row>
    <row r="44" spans="1:7" ht="12.75">
      <c r="A44">
        <f t="shared" si="1"/>
        <v>14</v>
      </c>
      <c r="B44" s="83" t="s">
        <v>1504</v>
      </c>
      <c r="C44" t="s">
        <v>1506</v>
      </c>
      <c r="D44">
        <v>1</v>
      </c>
      <c r="E44" t="s">
        <v>308</v>
      </c>
      <c r="F44" s="83" t="s">
        <v>1517</v>
      </c>
      <c r="G44" t="s">
        <v>1877</v>
      </c>
    </row>
    <row r="45" spans="1:7" ht="12.75">
      <c r="A45">
        <f>A44+1</f>
        <v>15</v>
      </c>
      <c r="B45" s="83" t="s">
        <v>1435</v>
      </c>
      <c r="C45" t="s">
        <v>1436</v>
      </c>
      <c r="D45">
        <v>2</v>
      </c>
      <c r="E45" t="s">
        <v>303</v>
      </c>
      <c r="F45" s="83" t="s">
        <v>2492</v>
      </c>
      <c r="G45" t="s">
        <v>1873</v>
      </c>
    </row>
    <row r="46" spans="1:7" ht="12.75">
      <c r="A46">
        <f t="shared" si="1"/>
        <v>16</v>
      </c>
      <c r="B46" s="83" t="s">
        <v>1468</v>
      </c>
      <c r="C46" t="s">
        <v>1470</v>
      </c>
      <c r="D46">
        <v>1</v>
      </c>
      <c r="E46" s="114" t="s">
        <v>924</v>
      </c>
      <c r="F46" s="83" t="s">
        <v>924</v>
      </c>
      <c r="G46" s="114" t="s">
        <v>924</v>
      </c>
    </row>
    <row r="47" spans="1:7" ht="12.75">
      <c r="A47">
        <f t="shared" si="1"/>
        <v>17</v>
      </c>
      <c r="B47" s="83" t="s">
        <v>1504</v>
      </c>
      <c r="C47" t="s">
        <v>1470</v>
      </c>
      <c r="D47">
        <v>1</v>
      </c>
      <c r="E47" s="114" t="s">
        <v>924</v>
      </c>
      <c r="F47" s="83" t="s">
        <v>924</v>
      </c>
      <c r="G47" s="114" t="s">
        <v>924</v>
      </c>
    </row>
    <row r="48" spans="1:7" ht="12.75">
      <c r="A48">
        <f t="shared" si="1"/>
        <v>18</v>
      </c>
      <c r="B48" s="83" t="s">
        <v>1504</v>
      </c>
      <c r="C48" t="s">
        <v>1507</v>
      </c>
      <c r="D48">
        <v>1</v>
      </c>
      <c r="E48" t="s">
        <v>308</v>
      </c>
      <c r="F48" s="83" t="s">
        <v>1517</v>
      </c>
      <c r="G48" t="s">
        <v>1877</v>
      </c>
    </row>
    <row r="49" spans="1:7" ht="12.75">
      <c r="A49">
        <f t="shared" si="1"/>
        <v>19</v>
      </c>
      <c r="B49" s="83" t="s">
        <v>1468</v>
      </c>
      <c r="C49" t="s">
        <v>1471</v>
      </c>
      <c r="D49">
        <v>2</v>
      </c>
      <c r="E49" s="114" t="s">
        <v>924</v>
      </c>
      <c r="F49" s="83" t="s">
        <v>924</v>
      </c>
      <c r="G49" s="114" t="s">
        <v>924</v>
      </c>
    </row>
    <row r="50" spans="1:7" ht="12.75">
      <c r="A50">
        <f t="shared" si="1"/>
        <v>20</v>
      </c>
      <c r="B50" s="83" t="s">
        <v>1504</v>
      </c>
      <c r="C50" t="s">
        <v>1471</v>
      </c>
      <c r="D50">
        <v>2</v>
      </c>
      <c r="E50" s="114" t="s">
        <v>924</v>
      </c>
      <c r="F50" s="83" t="s">
        <v>924</v>
      </c>
      <c r="G50" s="114" t="s">
        <v>924</v>
      </c>
    </row>
    <row r="51" spans="1:7" ht="12.75">
      <c r="A51">
        <f t="shared" si="1"/>
        <v>21</v>
      </c>
      <c r="B51" s="83" t="s">
        <v>1468</v>
      </c>
      <c r="C51" t="s">
        <v>1472</v>
      </c>
      <c r="D51">
        <v>1</v>
      </c>
      <c r="E51" t="s">
        <v>289</v>
      </c>
      <c r="F51" s="83" t="s">
        <v>2494</v>
      </c>
      <c r="G51" t="s">
        <v>1876</v>
      </c>
    </row>
    <row r="52" spans="1:7" ht="12.75">
      <c r="A52">
        <f t="shared" si="1"/>
        <v>22</v>
      </c>
      <c r="B52" s="83" t="s">
        <v>210</v>
      </c>
      <c r="C52" t="s">
        <v>1508</v>
      </c>
      <c r="D52">
        <v>1</v>
      </c>
      <c r="E52" t="s">
        <v>303</v>
      </c>
      <c r="F52" s="83" t="s">
        <v>2496</v>
      </c>
      <c r="G52" t="s">
        <v>1873</v>
      </c>
    </row>
    <row r="53" spans="1:7" ht="12.75">
      <c r="A53">
        <f t="shared" si="1"/>
        <v>23</v>
      </c>
      <c r="B53" s="83" t="s">
        <v>1504</v>
      </c>
      <c r="C53" t="s">
        <v>1508</v>
      </c>
      <c r="D53">
        <v>1</v>
      </c>
      <c r="E53" t="s">
        <v>303</v>
      </c>
      <c r="F53" s="83" t="s">
        <v>2496</v>
      </c>
      <c r="G53" t="s">
        <v>1873</v>
      </c>
    </row>
    <row r="54" spans="1:7" ht="12.75">
      <c r="A54">
        <f t="shared" si="1"/>
        <v>24</v>
      </c>
      <c r="B54" s="83" t="s">
        <v>187</v>
      </c>
      <c r="C54" t="s">
        <v>1508</v>
      </c>
      <c r="D54">
        <v>1</v>
      </c>
      <c r="E54" t="s">
        <v>303</v>
      </c>
      <c r="F54" s="83" t="s">
        <v>2496</v>
      </c>
      <c r="G54" t="s">
        <v>1873</v>
      </c>
    </row>
    <row r="55" spans="1:7" ht="12.75">
      <c r="A55">
        <f t="shared" si="1"/>
        <v>25</v>
      </c>
      <c r="B55" s="83" t="s">
        <v>1435</v>
      </c>
      <c r="C55" t="s">
        <v>1437</v>
      </c>
      <c r="D55">
        <v>1</v>
      </c>
      <c r="E55" t="s">
        <v>297</v>
      </c>
      <c r="F55" s="83" t="s">
        <v>119</v>
      </c>
      <c r="G55" t="s">
        <v>1874</v>
      </c>
    </row>
    <row r="56" spans="1:7" ht="12.75">
      <c r="A56">
        <f t="shared" si="1"/>
        <v>26</v>
      </c>
      <c r="B56" s="83" t="s">
        <v>1468</v>
      </c>
      <c r="C56" t="s">
        <v>1473</v>
      </c>
      <c r="D56">
        <v>1</v>
      </c>
      <c r="E56" t="s">
        <v>293</v>
      </c>
      <c r="F56" s="83" t="s">
        <v>118</v>
      </c>
      <c r="G56" t="s">
        <v>1878</v>
      </c>
    </row>
    <row r="57" spans="1:7" ht="12.75">
      <c r="A57">
        <f t="shared" si="1"/>
        <v>27</v>
      </c>
      <c r="B57" s="83" t="s">
        <v>188</v>
      </c>
      <c r="C57" t="s">
        <v>1485</v>
      </c>
      <c r="D57">
        <v>2</v>
      </c>
      <c r="E57" t="s">
        <v>289</v>
      </c>
      <c r="F57" s="83" t="s">
        <v>2493</v>
      </c>
      <c r="G57" t="s">
        <v>1876</v>
      </c>
    </row>
    <row r="58" spans="1:7" ht="12.75">
      <c r="A58">
        <f t="shared" si="1"/>
        <v>28</v>
      </c>
      <c r="B58" s="83" t="s">
        <v>1504</v>
      </c>
      <c r="C58" t="s">
        <v>1485</v>
      </c>
      <c r="D58">
        <v>2</v>
      </c>
      <c r="E58" t="s">
        <v>289</v>
      </c>
      <c r="F58" s="83" t="s">
        <v>2493</v>
      </c>
      <c r="G58" t="s">
        <v>1876</v>
      </c>
    </row>
    <row r="59" spans="1:7" ht="12.75">
      <c r="A59">
        <f t="shared" si="1"/>
        <v>29</v>
      </c>
      <c r="B59" s="83" t="s">
        <v>1504</v>
      </c>
      <c r="C59" t="s">
        <v>1509</v>
      </c>
      <c r="D59">
        <v>1</v>
      </c>
      <c r="E59" s="114" t="s">
        <v>924</v>
      </c>
      <c r="F59" s="83" t="s">
        <v>1517</v>
      </c>
      <c r="G59" s="114" t="s">
        <v>924</v>
      </c>
    </row>
    <row r="60" spans="1:7" ht="12.75">
      <c r="A60">
        <f t="shared" si="1"/>
        <v>30</v>
      </c>
      <c r="B60" s="83" t="s">
        <v>187</v>
      </c>
      <c r="C60" t="s">
        <v>194</v>
      </c>
      <c r="D60">
        <v>1</v>
      </c>
      <c r="E60" t="s">
        <v>303</v>
      </c>
      <c r="F60" s="83" t="s">
        <v>119</v>
      </c>
      <c r="G60" t="s">
        <v>1873</v>
      </c>
    </row>
    <row r="61" spans="1:7" ht="12.75">
      <c r="A61">
        <f t="shared" si="1"/>
        <v>31</v>
      </c>
      <c r="B61" s="83" t="s">
        <v>187</v>
      </c>
      <c r="C61" t="s">
        <v>195</v>
      </c>
      <c r="D61">
        <v>1</v>
      </c>
      <c r="E61" t="s">
        <v>303</v>
      </c>
      <c r="F61" s="83" t="s">
        <v>119</v>
      </c>
      <c r="G61" t="s">
        <v>1873</v>
      </c>
    </row>
    <row r="62" spans="1:7" ht="12.75">
      <c r="A62">
        <f t="shared" si="1"/>
        <v>32</v>
      </c>
      <c r="B62" s="83" t="s">
        <v>187</v>
      </c>
      <c r="C62" t="s">
        <v>196</v>
      </c>
      <c r="D62">
        <v>1</v>
      </c>
      <c r="E62" t="s">
        <v>297</v>
      </c>
      <c r="F62" s="83" t="s">
        <v>2494</v>
      </c>
      <c r="G62" t="s">
        <v>1874</v>
      </c>
    </row>
    <row r="63" spans="1:7" ht="12.75">
      <c r="A63">
        <f t="shared" si="1"/>
        <v>33</v>
      </c>
      <c r="B63" s="83" t="s">
        <v>1504</v>
      </c>
      <c r="C63" t="s">
        <v>1497</v>
      </c>
      <c r="D63">
        <v>1</v>
      </c>
      <c r="E63" t="s">
        <v>289</v>
      </c>
      <c r="F63" s="83" t="s">
        <v>2494</v>
      </c>
      <c r="G63" t="s">
        <v>1876</v>
      </c>
    </row>
    <row r="64" spans="1:7" ht="12.75">
      <c r="A64">
        <f t="shared" si="1"/>
        <v>34</v>
      </c>
      <c r="B64" s="83" t="s">
        <v>187</v>
      </c>
      <c r="C64" t="s">
        <v>197</v>
      </c>
      <c r="D64">
        <v>1</v>
      </c>
      <c r="E64" t="s">
        <v>303</v>
      </c>
      <c r="F64" s="83" t="s">
        <v>2494</v>
      </c>
      <c r="G64" t="s">
        <v>1873</v>
      </c>
    </row>
    <row r="65" spans="1:7" ht="12.75">
      <c r="A65">
        <f t="shared" si="1"/>
        <v>35</v>
      </c>
      <c r="B65" s="83" t="s">
        <v>1468</v>
      </c>
      <c r="C65" t="s">
        <v>1474</v>
      </c>
      <c r="D65">
        <v>1</v>
      </c>
      <c r="E65" t="s">
        <v>297</v>
      </c>
      <c r="F65" s="83" t="s">
        <v>2494</v>
      </c>
      <c r="G65" t="s">
        <v>1874</v>
      </c>
    </row>
    <row r="66" spans="1:7" ht="12.75">
      <c r="A66">
        <f t="shared" si="1"/>
        <v>36</v>
      </c>
      <c r="B66" s="83" t="s">
        <v>1504</v>
      </c>
      <c r="C66" t="s">
        <v>1474</v>
      </c>
      <c r="D66">
        <v>1</v>
      </c>
      <c r="E66" t="s">
        <v>289</v>
      </c>
      <c r="F66" s="83" t="s">
        <v>2494</v>
      </c>
      <c r="G66" t="s">
        <v>1876</v>
      </c>
    </row>
    <row r="67" spans="1:7" ht="12.75">
      <c r="A67">
        <f t="shared" si="1"/>
        <v>37</v>
      </c>
      <c r="B67" s="83" t="s">
        <v>1435</v>
      </c>
      <c r="C67" t="s">
        <v>1438</v>
      </c>
      <c r="D67">
        <v>1</v>
      </c>
      <c r="E67" t="s">
        <v>303</v>
      </c>
      <c r="F67" s="83" t="s">
        <v>2494</v>
      </c>
      <c r="G67" t="s">
        <v>1873</v>
      </c>
    </row>
    <row r="68" spans="1:7" ht="12.75">
      <c r="A68">
        <f t="shared" si="1"/>
        <v>38</v>
      </c>
      <c r="B68" s="83" t="s">
        <v>1435</v>
      </c>
      <c r="C68" t="s">
        <v>1439</v>
      </c>
      <c r="D68">
        <v>1</v>
      </c>
      <c r="E68" t="s">
        <v>303</v>
      </c>
      <c r="F68" s="83" t="s">
        <v>2494</v>
      </c>
      <c r="G68" t="s">
        <v>1873</v>
      </c>
    </row>
    <row r="69" spans="1:7" ht="12.75">
      <c r="A69">
        <f t="shared" si="1"/>
        <v>39</v>
      </c>
      <c r="B69" s="83" t="s">
        <v>210</v>
      </c>
      <c r="C69" t="s">
        <v>211</v>
      </c>
      <c r="D69">
        <v>2</v>
      </c>
      <c r="E69" t="s">
        <v>303</v>
      </c>
      <c r="F69" s="83" t="s">
        <v>2496</v>
      </c>
      <c r="G69" t="s">
        <v>1873</v>
      </c>
    </row>
    <row r="70" spans="1:7" ht="12.75">
      <c r="A70">
        <f t="shared" si="1"/>
        <v>40</v>
      </c>
      <c r="B70" s="83" t="s">
        <v>1435</v>
      </c>
      <c r="C70" t="s">
        <v>1440</v>
      </c>
      <c r="D70">
        <v>1</v>
      </c>
      <c r="E70" t="s">
        <v>297</v>
      </c>
      <c r="F70" s="83" t="s">
        <v>119</v>
      </c>
      <c r="G70" t="s">
        <v>1874</v>
      </c>
    </row>
    <row r="71" spans="1:7" ht="12.75">
      <c r="A71">
        <f t="shared" si="1"/>
        <v>41</v>
      </c>
      <c r="B71" s="83" t="s">
        <v>1490</v>
      </c>
      <c r="C71" t="s">
        <v>1491</v>
      </c>
      <c r="D71">
        <v>2</v>
      </c>
      <c r="E71" t="s">
        <v>303</v>
      </c>
      <c r="F71" s="83" t="s">
        <v>2493</v>
      </c>
      <c r="G71" t="s">
        <v>1873</v>
      </c>
    </row>
    <row r="72" spans="1:7" ht="12.75">
      <c r="A72">
        <f t="shared" si="1"/>
        <v>42</v>
      </c>
      <c r="B72" s="83" t="s">
        <v>187</v>
      </c>
      <c r="C72" t="s">
        <v>198</v>
      </c>
      <c r="D72">
        <v>1</v>
      </c>
      <c r="E72" t="s">
        <v>297</v>
      </c>
      <c r="F72" s="83" t="s">
        <v>2493</v>
      </c>
      <c r="G72" t="s">
        <v>1874</v>
      </c>
    </row>
    <row r="73" spans="1:7" ht="12.75">
      <c r="A73">
        <f t="shared" si="1"/>
        <v>43</v>
      </c>
      <c r="B73" s="83" t="s">
        <v>1435</v>
      </c>
      <c r="C73" t="s">
        <v>1441</v>
      </c>
      <c r="D73">
        <v>1</v>
      </c>
      <c r="E73" t="s">
        <v>285</v>
      </c>
      <c r="F73" s="83" t="s">
        <v>119</v>
      </c>
      <c r="G73" t="s">
        <v>1875</v>
      </c>
    </row>
    <row r="74" spans="1:7" ht="12.75">
      <c r="A74">
        <f t="shared" si="1"/>
        <v>44</v>
      </c>
      <c r="B74" s="83" t="s">
        <v>1468</v>
      </c>
      <c r="C74" t="s">
        <v>1475</v>
      </c>
      <c r="D74">
        <v>1</v>
      </c>
      <c r="E74" t="s">
        <v>303</v>
      </c>
      <c r="F74" s="83" t="s">
        <v>2494</v>
      </c>
      <c r="G74" t="s">
        <v>1873</v>
      </c>
    </row>
    <row r="75" spans="1:7" ht="12.75">
      <c r="A75">
        <f t="shared" si="1"/>
        <v>45</v>
      </c>
      <c r="B75" s="83" t="s">
        <v>1504</v>
      </c>
      <c r="C75" t="s">
        <v>1475</v>
      </c>
      <c r="D75">
        <v>1</v>
      </c>
      <c r="E75" t="s">
        <v>303</v>
      </c>
      <c r="F75" s="83" t="s">
        <v>2494</v>
      </c>
      <c r="G75" t="s">
        <v>1873</v>
      </c>
    </row>
    <row r="76" spans="1:7" ht="12.75">
      <c r="A76">
        <f t="shared" si="1"/>
        <v>46</v>
      </c>
      <c r="B76" s="83" t="s">
        <v>1504</v>
      </c>
      <c r="C76" t="s">
        <v>1498</v>
      </c>
      <c r="D76">
        <v>1</v>
      </c>
      <c r="E76" t="s">
        <v>289</v>
      </c>
      <c r="F76" s="83" t="s">
        <v>2494</v>
      </c>
      <c r="G76" t="s">
        <v>1876</v>
      </c>
    </row>
    <row r="77" spans="1:7" ht="12.75">
      <c r="A77">
        <f t="shared" si="1"/>
        <v>47</v>
      </c>
      <c r="B77" s="83" t="s">
        <v>187</v>
      </c>
      <c r="C77" t="s">
        <v>199</v>
      </c>
      <c r="D77">
        <v>1</v>
      </c>
      <c r="E77" t="s">
        <v>297</v>
      </c>
      <c r="F77" s="83" t="s">
        <v>2493</v>
      </c>
      <c r="G77" t="s">
        <v>1874</v>
      </c>
    </row>
    <row r="78" spans="1:7" ht="12.75">
      <c r="A78">
        <f t="shared" si="1"/>
        <v>48</v>
      </c>
      <c r="B78" s="83" t="s">
        <v>210</v>
      </c>
      <c r="C78" t="s">
        <v>212</v>
      </c>
      <c r="D78">
        <v>1</v>
      </c>
      <c r="E78" t="s">
        <v>297</v>
      </c>
      <c r="F78" s="83" t="s">
        <v>2494</v>
      </c>
      <c r="G78" t="s">
        <v>1874</v>
      </c>
    </row>
    <row r="79" spans="1:7" ht="12.75">
      <c r="A79">
        <f t="shared" si="1"/>
        <v>49</v>
      </c>
      <c r="B79" s="83" t="s">
        <v>1435</v>
      </c>
      <c r="C79" t="s">
        <v>1442</v>
      </c>
      <c r="D79">
        <v>1</v>
      </c>
      <c r="E79" t="s">
        <v>297</v>
      </c>
      <c r="F79" s="83" t="s">
        <v>119</v>
      </c>
      <c r="G79" t="s">
        <v>1874</v>
      </c>
    </row>
    <row r="80" spans="1:7" ht="12.75">
      <c r="A80">
        <f t="shared" si="1"/>
        <v>50</v>
      </c>
      <c r="B80" s="83" t="s">
        <v>188</v>
      </c>
      <c r="C80" t="s">
        <v>1492</v>
      </c>
      <c r="D80">
        <v>2</v>
      </c>
      <c r="E80" t="s">
        <v>297</v>
      </c>
      <c r="F80" s="83" t="s">
        <v>2493</v>
      </c>
      <c r="G80" t="s">
        <v>1874</v>
      </c>
    </row>
    <row r="81" spans="1:7" ht="12.75">
      <c r="A81">
        <f t="shared" si="1"/>
        <v>51</v>
      </c>
      <c r="B81" s="83" t="s">
        <v>1490</v>
      </c>
      <c r="C81" t="s">
        <v>1492</v>
      </c>
      <c r="D81">
        <v>2</v>
      </c>
      <c r="E81" t="s">
        <v>297</v>
      </c>
      <c r="F81" s="83" t="s">
        <v>2493</v>
      </c>
      <c r="G81" t="s">
        <v>1874</v>
      </c>
    </row>
    <row r="82" spans="1:7" ht="12.75">
      <c r="A82">
        <f t="shared" si="1"/>
        <v>52</v>
      </c>
      <c r="B82" s="83" t="s">
        <v>1504</v>
      </c>
      <c r="C82" t="s">
        <v>1492</v>
      </c>
      <c r="D82">
        <v>2</v>
      </c>
      <c r="E82" t="s">
        <v>297</v>
      </c>
      <c r="F82" s="83" t="s">
        <v>2493</v>
      </c>
      <c r="G82" t="s">
        <v>1874</v>
      </c>
    </row>
    <row r="83" spans="1:7" ht="12.75">
      <c r="A83">
        <f t="shared" si="1"/>
        <v>53</v>
      </c>
      <c r="B83" s="83" t="s">
        <v>1435</v>
      </c>
      <c r="C83" t="s">
        <v>1443</v>
      </c>
      <c r="D83">
        <v>1</v>
      </c>
      <c r="E83" t="s">
        <v>303</v>
      </c>
      <c r="F83" s="83" t="s">
        <v>119</v>
      </c>
      <c r="G83" t="s">
        <v>1873</v>
      </c>
    </row>
    <row r="84" spans="1:7" ht="12.75">
      <c r="A84">
        <f t="shared" si="1"/>
        <v>54</v>
      </c>
      <c r="B84" s="83" t="s">
        <v>1435</v>
      </c>
      <c r="C84" t="s">
        <v>1444</v>
      </c>
      <c r="D84">
        <v>1</v>
      </c>
      <c r="E84" t="s">
        <v>297</v>
      </c>
      <c r="F84" s="83" t="s">
        <v>119</v>
      </c>
      <c r="G84" t="s">
        <v>1874</v>
      </c>
    </row>
    <row r="85" spans="1:7" ht="12.75">
      <c r="A85">
        <f t="shared" si="1"/>
        <v>55</v>
      </c>
      <c r="B85" s="83" t="s">
        <v>188</v>
      </c>
      <c r="C85" t="s">
        <v>1486</v>
      </c>
      <c r="D85">
        <v>1</v>
      </c>
      <c r="E85" t="s">
        <v>297</v>
      </c>
      <c r="F85" s="83" t="s">
        <v>2496</v>
      </c>
      <c r="G85" t="s">
        <v>1874</v>
      </c>
    </row>
    <row r="86" spans="1:7" ht="12.75">
      <c r="A86">
        <f t="shared" si="1"/>
        <v>56</v>
      </c>
      <c r="B86" s="83" t="s">
        <v>1490</v>
      </c>
      <c r="C86" t="s">
        <v>1486</v>
      </c>
      <c r="D86">
        <v>1</v>
      </c>
      <c r="E86" t="s">
        <v>297</v>
      </c>
      <c r="F86" s="83" t="s">
        <v>2496</v>
      </c>
      <c r="G86" t="s">
        <v>1874</v>
      </c>
    </row>
    <row r="87" spans="1:7" ht="12.75">
      <c r="A87">
        <f t="shared" si="1"/>
        <v>57</v>
      </c>
      <c r="B87" s="83" t="s">
        <v>1504</v>
      </c>
      <c r="C87" t="s">
        <v>1486</v>
      </c>
      <c r="D87">
        <v>1</v>
      </c>
      <c r="E87" t="s">
        <v>297</v>
      </c>
      <c r="F87" s="83" t="s">
        <v>2496</v>
      </c>
      <c r="G87" t="s">
        <v>1874</v>
      </c>
    </row>
    <row r="88" spans="1:7" ht="12.75">
      <c r="A88">
        <f t="shared" si="1"/>
        <v>58</v>
      </c>
      <c r="B88" s="83" t="s">
        <v>1504</v>
      </c>
      <c r="C88" t="s">
        <v>1499</v>
      </c>
      <c r="D88">
        <v>2</v>
      </c>
      <c r="E88" t="s">
        <v>297</v>
      </c>
      <c r="F88" s="83" t="s">
        <v>2493</v>
      </c>
      <c r="G88" t="s">
        <v>1874</v>
      </c>
    </row>
    <row r="89" spans="1:7" ht="12.75">
      <c r="A89">
        <f t="shared" si="1"/>
        <v>59</v>
      </c>
      <c r="B89" s="83" t="s">
        <v>1490</v>
      </c>
      <c r="C89" t="s">
        <v>1493</v>
      </c>
      <c r="D89">
        <v>1</v>
      </c>
      <c r="E89" t="s">
        <v>308</v>
      </c>
      <c r="F89" s="83" t="s">
        <v>119</v>
      </c>
      <c r="G89" t="s">
        <v>1877</v>
      </c>
    </row>
    <row r="90" spans="1:7" ht="12.75">
      <c r="A90">
        <f t="shared" si="1"/>
        <v>60</v>
      </c>
      <c r="B90" s="83" t="s">
        <v>1504</v>
      </c>
      <c r="C90" t="s">
        <v>1493</v>
      </c>
      <c r="D90">
        <v>1</v>
      </c>
      <c r="E90" t="s">
        <v>308</v>
      </c>
      <c r="F90" s="83" t="s">
        <v>119</v>
      </c>
      <c r="G90" t="s">
        <v>1877</v>
      </c>
    </row>
    <row r="91" spans="1:7" ht="12.75">
      <c r="A91">
        <f t="shared" si="1"/>
        <v>61</v>
      </c>
      <c r="B91" s="83" t="s">
        <v>1490</v>
      </c>
      <c r="C91" t="s">
        <v>1494</v>
      </c>
      <c r="D91">
        <v>1</v>
      </c>
      <c r="E91" t="s">
        <v>289</v>
      </c>
      <c r="F91" s="83" t="s">
        <v>2494</v>
      </c>
      <c r="G91" t="s">
        <v>1876</v>
      </c>
    </row>
    <row r="92" spans="1:7" ht="12.75">
      <c r="A92">
        <f t="shared" si="1"/>
        <v>62</v>
      </c>
      <c r="B92" s="83" t="s">
        <v>1504</v>
      </c>
      <c r="C92" t="s">
        <v>1494</v>
      </c>
      <c r="D92">
        <v>1</v>
      </c>
      <c r="E92" t="s">
        <v>289</v>
      </c>
      <c r="F92" s="83" t="s">
        <v>2494</v>
      </c>
      <c r="G92" t="s">
        <v>1876</v>
      </c>
    </row>
    <row r="93" spans="1:7" ht="12.75">
      <c r="A93">
        <f t="shared" si="1"/>
        <v>63</v>
      </c>
      <c r="B93" s="83" t="s">
        <v>1504</v>
      </c>
      <c r="C93" t="s">
        <v>1510</v>
      </c>
      <c r="D93">
        <v>1</v>
      </c>
      <c r="E93" t="s">
        <v>297</v>
      </c>
      <c r="F93" s="83" t="s">
        <v>1517</v>
      </c>
      <c r="G93" t="s">
        <v>1874</v>
      </c>
    </row>
    <row r="94" spans="1:7" ht="12.75">
      <c r="A94">
        <f t="shared" si="1"/>
        <v>64</v>
      </c>
      <c r="B94" s="83" t="s">
        <v>1435</v>
      </c>
      <c r="C94" t="s">
        <v>1445</v>
      </c>
      <c r="D94">
        <v>1</v>
      </c>
      <c r="E94" t="s">
        <v>289</v>
      </c>
      <c r="F94" s="83" t="s">
        <v>2494</v>
      </c>
      <c r="G94" t="s">
        <v>1876</v>
      </c>
    </row>
    <row r="95" spans="1:7" ht="12.75">
      <c r="A95">
        <f t="shared" si="1"/>
        <v>65</v>
      </c>
      <c r="B95" s="83" t="s">
        <v>1468</v>
      </c>
      <c r="C95" t="s">
        <v>1476</v>
      </c>
      <c r="D95">
        <v>1</v>
      </c>
      <c r="E95" t="s">
        <v>297</v>
      </c>
      <c r="F95" s="83" t="s">
        <v>2493</v>
      </c>
      <c r="G95" t="s">
        <v>1874</v>
      </c>
    </row>
    <row r="96" spans="1:7" ht="12.75">
      <c r="A96">
        <f aca="true" t="shared" si="2" ref="A96:A159">A95+1</f>
        <v>66</v>
      </c>
      <c r="B96" s="83" t="s">
        <v>188</v>
      </c>
      <c r="C96" t="s">
        <v>1476</v>
      </c>
      <c r="D96">
        <v>1</v>
      </c>
      <c r="E96" t="s">
        <v>297</v>
      </c>
      <c r="F96" s="83" t="s">
        <v>2493</v>
      </c>
      <c r="G96" t="s">
        <v>1874</v>
      </c>
    </row>
    <row r="97" spans="1:7" ht="12.75">
      <c r="A97">
        <f t="shared" si="2"/>
        <v>67</v>
      </c>
      <c r="B97" s="83" t="s">
        <v>1490</v>
      </c>
      <c r="C97" t="s">
        <v>1476</v>
      </c>
      <c r="D97">
        <v>1</v>
      </c>
      <c r="E97" t="s">
        <v>297</v>
      </c>
      <c r="F97" s="83" t="s">
        <v>2493</v>
      </c>
      <c r="G97" t="s">
        <v>1874</v>
      </c>
    </row>
    <row r="98" spans="1:7" ht="12.75">
      <c r="A98">
        <f t="shared" si="2"/>
        <v>68</v>
      </c>
      <c r="B98" s="83" t="s">
        <v>1504</v>
      </c>
      <c r="C98" t="s">
        <v>1476</v>
      </c>
      <c r="D98">
        <v>1</v>
      </c>
      <c r="E98" t="s">
        <v>297</v>
      </c>
      <c r="F98" s="83" t="s">
        <v>2493</v>
      </c>
      <c r="G98" t="s">
        <v>1874</v>
      </c>
    </row>
    <row r="99" spans="1:7" ht="12.75">
      <c r="A99">
        <f t="shared" si="2"/>
        <v>69</v>
      </c>
      <c r="B99" s="83" t="s">
        <v>1435</v>
      </c>
      <c r="C99" t="s">
        <v>1446</v>
      </c>
      <c r="D99">
        <v>1</v>
      </c>
      <c r="E99" t="s">
        <v>303</v>
      </c>
      <c r="F99" s="83" t="s">
        <v>2496</v>
      </c>
      <c r="G99" t="s">
        <v>1873</v>
      </c>
    </row>
    <row r="100" spans="1:7" ht="12.75">
      <c r="A100">
        <f t="shared" si="2"/>
        <v>70</v>
      </c>
      <c r="B100" s="83" t="s">
        <v>1435</v>
      </c>
      <c r="C100" t="s">
        <v>1447</v>
      </c>
      <c r="D100">
        <v>1</v>
      </c>
      <c r="E100" t="s">
        <v>303</v>
      </c>
      <c r="F100" s="83" t="s">
        <v>35</v>
      </c>
      <c r="G100" t="s">
        <v>1873</v>
      </c>
    </row>
    <row r="101" spans="1:7" ht="12.75">
      <c r="A101">
        <f t="shared" si="2"/>
        <v>71</v>
      </c>
      <c r="B101" s="83" t="s">
        <v>187</v>
      </c>
      <c r="C101" t="s">
        <v>200</v>
      </c>
      <c r="D101">
        <v>2</v>
      </c>
      <c r="E101" t="s">
        <v>289</v>
      </c>
      <c r="F101" s="83" t="s">
        <v>2493</v>
      </c>
      <c r="G101" t="s">
        <v>1876</v>
      </c>
    </row>
    <row r="102" spans="1:7" ht="12.75">
      <c r="A102">
        <f t="shared" si="2"/>
        <v>72</v>
      </c>
      <c r="B102" s="83" t="s">
        <v>1435</v>
      </c>
      <c r="C102" t="s">
        <v>1448</v>
      </c>
      <c r="D102">
        <v>2</v>
      </c>
      <c r="E102" t="s">
        <v>303</v>
      </c>
      <c r="F102" s="83" t="s">
        <v>2493</v>
      </c>
      <c r="G102" t="s">
        <v>1873</v>
      </c>
    </row>
    <row r="103" spans="1:7" ht="12.75">
      <c r="A103">
        <f t="shared" si="2"/>
        <v>73</v>
      </c>
      <c r="B103" s="83" t="s">
        <v>188</v>
      </c>
      <c r="C103" t="s">
        <v>1487</v>
      </c>
      <c r="D103">
        <v>1</v>
      </c>
      <c r="E103" t="s">
        <v>303</v>
      </c>
      <c r="F103" s="83" t="s">
        <v>119</v>
      </c>
      <c r="G103" t="s">
        <v>1873</v>
      </c>
    </row>
    <row r="104" spans="1:7" ht="12.75">
      <c r="A104">
        <f t="shared" si="2"/>
        <v>74</v>
      </c>
      <c r="B104" s="83" t="s">
        <v>1490</v>
      </c>
      <c r="C104" t="s">
        <v>1487</v>
      </c>
      <c r="D104">
        <v>1</v>
      </c>
      <c r="E104" t="s">
        <v>303</v>
      </c>
      <c r="F104" s="83" t="s">
        <v>119</v>
      </c>
      <c r="G104" t="s">
        <v>1873</v>
      </c>
    </row>
    <row r="105" spans="1:7" ht="12.75">
      <c r="A105">
        <f t="shared" si="2"/>
        <v>75</v>
      </c>
      <c r="B105" s="83" t="s">
        <v>1504</v>
      </c>
      <c r="C105" t="s">
        <v>1487</v>
      </c>
      <c r="D105">
        <v>1</v>
      </c>
      <c r="E105" t="s">
        <v>303</v>
      </c>
      <c r="F105" s="83" t="s">
        <v>119</v>
      </c>
      <c r="G105" t="s">
        <v>1873</v>
      </c>
    </row>
    <row r="106" spans="1:7" ht="12.75">
      <c r="A106">
        <f t="shared" si="2"/>
        <v>76</v>
      </c>
      <c r="B106" s="83" t="s">
        <v>1468</v>
      </c>
      <c r="C106" t="s">
        <v>395</v>
      </c>
      <c r="D106">
        <v>2</v>
      </c>
      <c r="E106" t="s">
        <v>297</v>
      </c>
      <c r="F106" s="83" t="s">
        <v>2493</v>
      </c>
      <c r="G106" t="s">
        <v>1874</v>
      </c>
    </row>
    <row r="107" spans="1:7" ht="12.75">
      <c r="A107">
        <f t="shared" si="2"/>
        <v>77</v>
      </c>
      <c r="B107" s="83" t="s">
        <v>210</v>
      </c>
      <c r="C107" t="s">
        <v>201</v>
      </c>
      <c r="D107">
        <v>1</v>
      </c>
      <c r="E107" t="s">
        <v>297</v>
      </c>
      <c r="F107" s="83" t="s">
        <v>2493</v>
      </c>
      <c r="G107" t="s">
        <v>1874</v>
      </c>
    </row>
    <row r="108" spans="1:7" ht="12.75">
      <c r="A108">
        <f t="shared" si="2"/>
        <v>78</v>
      </c>
      <c r="B108" s="83" t="s">
        <v>187</v>
      </c>
      <c r="C108" t="s">
        <v>201</v>
      </c>
      <c r="D108">
        <v>1</v>
      </c>
      <c r="E108" t="s">
        <v>297</v>
      </c>
      <c r="F108" s="83" t="s">
        <v>2493</v>
      </c>
      <c r="G108" t="s">
        <v>1874</v>
      </c>
    </row>
    <row r="109" spans="1:7" ht="12.75">
      <c r="A109">
        <f t="shared" si="2"/>
        <v>79</v>
      </c>
      <c r="B109" s="83" t="s">
        <v>1504</v>
      </c>
      <c r="C109" t="s">
        <v>1500</v>
      </c>
      <c r="D109">
        <v>1</v>
      </c>
      <c r="E109" t="s">
        <v>297</v>
      </c>
      <c r="F109" s="83" t="s">
        <v>119</v>
      </c>
      <c r="G109" t="s">
        <v>1874</v>
      </c>
    </row>
    <row r="110" spans="1:7" ht="12.75">
      <c r="A110">
        <f t="shared" si="2"/>
        <v>80</v>
      </c>
      <c r="B110" s="83" t="s">
        <v>1504</v>
      </c>
      <c r="C110" t="s">
        <v>1511</v>
      </c>
      <c r="D110">
        <v>1</v>
      </c>
      <c r="E110" t="s">
        <v>289</v>
      </c>
      <c r="F110" s="83" t="s">
        <v>119</v>
      </c>
      <c r="G110" t="s">
        <v>1876</v>
      </c>
    </row>
    <row r="111" spans="1:7" ht="12.75">
      <c r="A111">
        <f t="shared" si="2"/>
        <v>81</v>
      </c>
      <c r="B111" s="83" t="s">
        <v>1435</v>
      </c>
      <c r="C111" t="s">
        <v>1449</v>
      </c>
      <c r="D111">
        <v>1</v>
      </c>
      <c r="E111" t="s">
        <v>285</v>
      </c>
      <c r="F111" s="83" t="s">
        <v>119</v>
      </c>
      <c r="G111" t="s">
        <v>1875</v>
      </c>
    </row>
    <row r="112" spans="1:7" ht="12.75">
      <c r="A112">
        <f t="shared" si="2"/>
        <v>82</v>
      </c>
      <c r="B112" s="83" t="s">
        <v>1435</v>
      </c>
      <c r="C112" t="s">
        <v>1450</v>
      </c>
      <c r="D112">
        <v>1</v>
      </c>
      <c r="E112" t="s">
        <v>289</v>
      </c>
      <c r="F112" s="83" t="s">
        <v>119</v>
      </c>
      <c r="G112" t="s">
        <v>1876</v>
      </c>
    </row>
    <row r="113" spans="1:7" ht="12.75">
      <c r="A113">
        <f t="shared" si="2"/>
        <v>83</v>
      </c>
      <c r="B113" s="83" t="s">
        <v>1435</v>
      </c>
      <c r="C113" t="s">
        <v>1451</v>
      </c>
      <c r="D113">
        <v>1</v>
      </c>
      <c r="E113" t="s">
        <v>285</v>
      </c>
      <c r="F113" s="83" t="s">
        <v>119</v>
      </c>
      <c r="G113" t="s">
        <v>1875</v>
      </c>
    </row>
    <row r="114" spans="1:7" ht="12.75">
      <c r="A114">
        <f t="shared" si="2"/>
        <v>84</v>
      </c>
      <c r="B114" s="83" t="s">
        <v>1435</v>
      </c>
      <c r="C114" t="s">
        <v>1452</v>
      </c>
      <c r="D114">
        <v>1</v>
      </c>
      <c r="E114" t="s">
        <v>289</v>
      </c>
      <c r="F114" s="83" t="s">
        <v>2496</v>
      </c>
      <c r="G114" t="s">
        <v>1876</v>
      </c>
    </row>
    <row r="115" spans="1:7" ht="12.75">
      <c r="A115">
        <f t="shared" si="2"/>
        <v>85</v>
      </c>
      <c r="B115" s="83" t="s">
        <v>1435</v>
      </c>
      <c r="C115" t="s">
        <v>1453</v>
      </c>
      <c r="D115">
        <v>1</v>
      </c>
      <c r="E115" t="s">
        <v>289</v>
      </c>
      <c r="F115" s="83" t="s">
        <v>119</v>
      </c>
      <c r="G115" t="s">
        <v>1876</v>
      </c>
    </row>
    <row r="116" spans="1:7" ht="12.75">
      <c r="A116">
        <f t="shared" si="2"/>
        <v>86</v>
      </c>
      <c r="B116" s="83" t="s">
        <v>187</v>
      </c>
      <c r="C116" t="s">
        <v>202</v>
      </c>
      <c r="D116">
        <v>1</v>
      </c>
      <c r="E116" t="s">
        <v>297</v>
      </c>
      <c r="F116" s="83" t="s">
        <v>2493</v>
      </c>
      <c r="G116" t="s">
        <v>1874</v>
      </c>
    </row>
    <row r="117" spans="1:7" ht="12.75">
      <c r="A117">
        <f t="shared" si="2"/>
        <v>87</v>
      </c>
      <c r="B117" s="83" t="s">
        <v>1435</v>
      </c>
      <c r="C117" t="s">
        <v>1454</v>
      </c>
      <c r="D117">
        <v>1</v>
      </c>
      <c r="E117" t="s">
        <v>308</v>
      </c>
      <c r="F117" s="83" t="s">
        <v>119</v>
      </c>
      <c r="G117" t="s">
        <v>1877</v>
      </c>
    </row>
    <row r="118" spans="1:7" ht="12.75">
      <c r="A118">
        <f t="shared" si="2"/>
        <v>88</v>
      </c>
      <c r="B118" s="83" t="s">
        <v>1468</v>
      </c>
      <c r="C118" t="s">
        <v>1477</v>
      </c>
      <c r="D118">
        <v>1</v>
      </c>
      <c r="E118" t="s">
        <v>308</v>
      </c>
      <c r="F118" s="83" t="s">
        <v>119</v>
      </c>
      <c r="G118" t="s">
        <v>1877</v>
      </c>
    </row>
    <row r="119" spans="1:7" ht="12.75">
      <c r="A119">
        <f t="shared" si="2"/>
        <v>89</v>
      </c>
      <c r="B119" s="83" t="s">
        <v>1504</v>
      </c>
      <c r="C119" t="s">
        <v>1477</v>
      </c>
      <c r="D119">
        <v>1</v>
      </c>
      <c r="E119" t="s">
        <v>308</v>
      </c>
      <c r="F119" s="83" t="s">
        <v>119</v>
      </c>
      <c r="G119" t="s">
        <v>1877</v>
      </c>
    </row>
    <row r="120" spans="1:7" ht="12.75">
      <c r="A120">
        <f t="shared" si="2"/>
        <v>90</v>
      </c>
      <c r="B120" s="83" t="s">
        <v>188</v>
      </c>
      <c r="C120" t="s">
        <v>1488</v>
      </c>
      <c r="D120">
        <v>1</v>
      </c>
      <c r="E120" t="s">
        <v>297</v>
      </c>
      <c r="F120" s="83" t="s">
        <v>119</v>
      </c>
      <c r="G120" t="s">
        <v>1874</v>
      </c>
    </row>
    <row r="121" spans="1:7" ht="12.75">
      <c r="A121">
        <f t="shared" si="2"/>
        <v>91</v>
      </c>
      <c r="B121" s="83" t="s">
        <v>1490</v>
      </c>
      <c r="C121" t="s">
        <v>1488</v>
      </c>
      <c r="D121">
        <v>1</v>
      </c>
      <c r="E121" t="s">
        <v>297</v>
      </c>
      <c r="F121" s="83" t="s">
        <v>119</v>
      </c>
      <c r="G121" t="s">
        <v>1874</v>
      </c>
    </row>
    <row r="122" spans="1:7" ht="12.75">
      <c r="A122">
        <f t="shared" si="2"/>
        <v>92</v>
      </c>
      <c r="B122" s="83" t="s">
        <v>1435</v>
      </c>
      <c r="C122" t="s">
        <v>1455</v>
      </c>
      <c r="D122">
        <v>1</v>
      </c>
      <c r="E122" t="s">
        <v>297</v>
      </c>
      <c r="F122" s="83" t="s">
        <v>119</v>
      </c>
      <c r="G122" t="s">
        <v>1874</v>
      </c>
    </row>
    <row r="123" spans="1:7" ht="12.75">
      <c r="A123">
        <f t="shared" si="2"/>
        <v>93</v>
      </c>
      <c r="B123" s="83" t="s">
        <v>1504</v>
      </c>
      <c r="C123" t="s">
        <v>1501</v>
      </c>
      <c r="D123">
        <v>1</v>
      </c>
      <c r="E123" t="s">
        <v>285</v>
      </c>
      <c r="F123" s="83" t="s">
        <v>119</v>
      </c>
      <c r="G123" t="s">
        <v>1875</v>
      </c>
    </row>
    <row r="124" spans="1:7" ht="12.75">
      <c r="A124">
        <f t="shared" si="2"/>
        <v>94</v>
      </c>
      <c r="B124" s="83" t="s">
        <v>1468</v>
      </c>
      <c r="C124" t="s">
        <v>1478</v>
      </c>
      <c r="D124">
        <v>2</v>
      </c>
      <c r="E124" t="s">
        <v>303</v>
      </c>
      <c r="F124" s="83" t="s">
        <v>119</v>
      </c>
      <c r="G124" t="s">
        <v>1873</v>
      </c>
    </row>
    <row r="125" spans="1:7" ht="12.75">
      <c r="A125">
        <f t="shared" si="2"/>
        <v>95</v>
      </c>
      <c r="B125" s="83" t="s">
        <v>1504</v>
      </c>
      <c r="C125" t="s">
        <v>1478</v>
      </c>
      <c r="D125">
        <v>2</v>
      </c>
      <c r="E125" t="s">
        <v>303</v>
      </c>
      <c r="F125" s="83" t="s">
        <v>119</v>
      </c>
      <c r="G125" t="s">
        <v>1873</v>
      </c>
    </row>
    <row r="126" spans="1:7" ht="12.75">
      <c r="A126">
        <f t="shared" si="2"/>
        <v>96</v>
      </c>
      <c r="B126" s="83" t="s">
        <v>1435</v>
      </c>
      <c r="C126" t="s">
        <v>1456</v>
      </c>
      <c r="D126">
        <v>1</v>
      </c>
      <c r="E126" t="s">
        <v>285</v>
      </c>
      <c r="F126" s="83" t="s">
        <v>2493</v>
      </c>
      <c r="G126" t="s">
        <v>1875</v>
      </c>
    </row>
    <row r="127" spans="1:7" ht="12.75">
      <c r="A127">
        <f t="shared" si="2"/>
        <v>97</v>
      </c>
      <c r="B127" s="83" t="s">
        <v>1504</v>
      </c>
      <c r="C127" t="s">
        <v>1512</v>
      </c>
      <c r="D127">
        <v>2</v>
      </c>
      <c r="E127" t="s">
        <v>308</v>
      </c>
      <c r="F127" s="83" t="s">
        <v>1517</v>
      </c>
      <c r="G127" t="s">
        <v>1877</v>
      </c>
    </row>
    <row r="128" spans="1:7" ht="12.75">
      <c r="A128">
        <f t="shared" si="2"/>
        <v>98</v>
      </c>
      <c r="B128" s="83" t="s">
        <v>1435</v>
      </c>
      <c r="C128" t="s">
        <v>1457</v>
      </c>
      <c r="D128">
        <v>1</v>
      </c>
      <c r="E128" t="s">
        <v>289</v>
      </c>
      <c r="F128" s="83" t="s">
        <v>119</v>
      </c>
      <c r="G128" t="s">
        <v>1876</v>
      </c>
    </row>
    <row r="129" spans="1:7" ht="12.75">
      <c r="A129">
        <f t="shared" si="2"/>
        <v>99</v>
      </c>
      <c r="B129" s="83" t="s">
        <v>187</v>
      </c>
      <c r="C129" t="s">
        <v>203</v>
      </c>
      <c r="D129">
        <v>1</v>
      </c>
      <c r="E129" t="s">
        <v>303</v>
      </c>
      <c r="F129" s="83" t="s">
        <v>119</v>
      </c>
      <c r="G129" t="s">
        <v>1873</v>
      </c>
    </row>
    <row r="130" spans="1:7" ht="12.75">
      <c r="A130">
        <f t="shared" si="2"/>
        <v>100</v>
      </c>
      <c r="B130" s="83" t="s">
        <v>1435</v>
      </c>
      <c r="C130" t="s">
        <v>1458</v>
      </c>
      <c r="D130">
        <v>1</v>
      </c>
      <c r="E130" t="s">
        <v>303</v>
      </c>
      <c r="F130" s="83" t="s">
        <v>119</v>
      </c>
      <c r="G130" t="s">
        <v>1873</v>
      </c>
    </row>
    <row r="131" spans="1:7" ht="12.75">
      <c r="A131">
        <f t="shared" si="2"/>
        <v>101</v>
      </c>
      <c r="B131" s="83" t="s">
        <v>210</v>
      </c>
      <c r="C131" t="s">
        <v>213</v>
      </c>
      <c r="D131">
        <v>1</v>
      </c>
      <c r="E131" t="s">
        <v>289</v>
      </c>
      <c r="F131" s="83" t="s">
        <v>2499</v>
      </c>
      <c r="G131" t="s">
        <v>1876</v>
      </c>
    </row>
    <row r="132" spans="1:7" ht="12.75">
      <c r="A132">
        <f t="shared" si="2"/>
        <v>102</v>
      </c>
      <c r="B132" s="83" t="s">
        <v>1435</v>
      </c>
      <c r="C132" t="s">
        <v>1459</v>
      </c>
      <c r="D132">
        <v>1</v>
      </c>
      <c r="E132" t="s">
        <v>303</v>
      </c>
      <c r="F132" s="83" t="s">
        <v>2494</v>
      </c>
      <c r="G132" t="s">
        <v>1873</v>
      </c>
    </row>
    <row r="133" spans="1:7" ht="12.75">
      <c r="A133">
        <f t="shared" si="2"/>
        <v>103</v>
      </c>
      <c r="B133" s="83" t="s">
        <v>187</v>
      </c>
      <c r="C133" t="s">
        <v>204</v>
      </c>
      <c r="D133">
        <v>1</v>
      </c>
      <c r="E133" t="s">
        <v>303</v>
      </c>
      <c r="F133" s="83" t="s">
        <v>2492</v>
      </c>
      <c r="G133" t="s">
        <v>1873</v>
      </c>
    </row>
    <row r="134" spans="1:7" ht="12.75">
      <c r="A134">
        <f t="shared" si="2"/>
        <v>104</v>
      </c>
      <c r="B134" s="83" t="s">
        <v>1468</v>
      </c>
      <c r="C134" t="s">
        <v>1479</v>
      </c>
      <c r="D134">
        <v>1</v>
      </c>
      <c r="E134" t="s">
        <v>297</v>
      </c>
      <c r="F134" s="83" t="s">
        <v>119</v>
      </c>
      <c r="G134" t="s">
        <v>1874</v>
      </c>
    </row>
    <row r="135" spans="1:7" ht="12.75">
      <c r="A135">
        <f t="shared" si="2"/>
        <v>105</v>
      </c>
      <c r="B135" s="83" t="s">
        <v>1504</v>
      </c>
      <c r="C135" t="s">
        <v>1479</v>
      </c>
      <c r="D135">
        <v>1</v>
      </c>
      <c r="E135" t="s">
        <v>297</v>
      </c>
      <c r="F135" s="83" t="s">
        <v>119</v>
      </c>
      <c r="G135" t="s">
        <v>1874</v>
      </c>
    </row>
    <row r="136" spans="1:7" ht="12.75">
      <c r="A136">
        <f t="shared" si="2"/>
        <v>106</v>
      </c>
      <c r="B136" s="83" t="s">
        <v>1504</v>
      </c>
      <c r="C136" t="s">
        <v>1513</v>
      </c>
      <c r="D136">
        <v>1</v>
      </c>
      <c r="E136" t="s">
        <v>303</v>
      </c>
      <c r="F136" s="83" t="s">
        <v>2494</v>
      </c>
      <c r="G136" t="s">
        <v>1873</v>
      </c>
    </row>
    <row r="137" spans="1:7" ht="12.75">
      <c r="A137">
        <f t="shared" si="2"/>
        <v>107</v>
      </c>
      <c r="B137" s="83" t="s">
        <v>1435</v>
      </c>
      <c r="C137" t="s">
        <v>1461</v>
      </c>
      <c r="D137">
        <v>1</v>
      </c>
      <c r="E137" t="s">
        <v>289</v>
      </c>
      <c r="F137" s="83" t="s">
        <v>2493</v>
      </c>
      <c r="G137" t="s">
        <v>1876</v>
      </c>
    </row>
    <row r="138" spans="1:7" ht="12.75">
      <c r="A138">
        <f t="shared" si="2"/>
        <v>108</v>
      </c>
      <c r="B138" s="83" t="s">
        <v>1504</v>
      </c>
      <c r="C138" t="s">
        <v>1502</v>
      </c>
      <c r="D138">
        <v>1</v>
      </c>
      <c r="E138" t="s">
        <v>289</v>
      </c>
      <c r="F138" s="83" t="s">
        <v>119</v>
      </c>
      <c r="G138" t="s">
        <v>1876</v>
      </c>
    </row>
    <row r="139" spans="1:7" ht="12.75">
      <c r="A139">
        <f t="shared" si="2"/>
        <v>109</v>
      </c>
      <c r="B139" s="83" t="s">
        <v>1468</v>
      </c>
      <c r="C139" t="s">
        <v>1480</v>
      </c>
      <c r="D139">
        <v>2</v>
      </c>
      <c r="E139" t="s">
        <v>297</v>
      </c>
      <c r="F139" s="83" t="s">
        <v>119</v>
      </c>
      <c r="G139" t="s">
        <v>1874</v>
      </c>
    </row>
    <row r="140" spans="1:7" ht="12.75">
      <c r="A140">
        <f t="shared" si="2"/>
        <v>110</v>
      </c>
      <c r="B140" s="83" t="s">
        <v>1504</v>
      </c>
      <c r="C140" t="s">
        <v>1480</v>
      </c>
      <c r="D140">
        <v>2</v>
      </c>
      <c r="E140" t="s">
        <v>297</v>
      </c>
      <c r="F140" s="83" t="s">
        <v>119</v>
      </c>
      <c r="G140" t="s">
        <v>1874</v>
      </c>
    </row>
    <row r="141" spans="1:7" ht="12.75">
      <c r="A141">
        <f t="shared" si="2"/>
        <v>111</v>
      </c>
      <c r="B141" s="83" t="s">
        <v>1435</v>
      </c>
      <c r="C141" t="s">
        <v>1460</v>
      </c>
      <c r="D141">
        <v>1</v>
      </c>
      <c r="E141" t="s">
        <v>308</v>
      </c>
      <c r="F141" s="83" t="s">
        <v>119</v>
      </c>
      <c r="G141" t="s">
        <v>1877</v>
      </c>
    </row>
    <row r="142" spans="1:7" ht="12.75">
      <c r="A142">
        <f t="shared" si="2"/>
        <v>112</v>
      </c>
      <c r="B142" s="83" t="s">
        <v>1504</v>
      </c>
      <c r="C142" t="s">
        <v>1514</v>
      </c>
      <c r="D142">
        <v>1</v>
      </c>
      <c r="E142" t="s">
        <v>289</v>
      </c>
      <c r="F142" s="83" t="s">
        <v>1517</v>
      </c>
      <c r="G142" t="s">
        <v>1876</v>
      </c>
    </row>
    <row r="143" spans="1:7" ht="12.75">
      <c r="A143">
        <f t="shared" si="2"/>
        <v>113</v>
      </c>
      <c r="B143" s="83" t="s">
        <v>1504</v>
      </c>
      <c r="C143" t="s">
        <v>1503</v>
      </c>
      <c r="D143">
        <v>1</v>
      </c>
      <c r="E143" t="s">
        <v>308</v>
      </c>
      <c r="F143" s="83" t="s">
        <v>2494</v>
      </c>
      <c r="G143" t="s">
        <v>1877</v>
      </c>
    </row>
    <row r="144" spans="1:7" ht="12.75">
      <c r="A144">
        <f t="shared" si="2"/>
        <v>114</v>
      </c>
      <c r="B144" s="83" t="s">
        <v>210</v>
      </c>
      <c r="C144" t="s">
        <v>214</v>
      </c>
      <c r="D144">
        <v>2</v>
      </c>
      <c r="E144" t="s">
        <v>297</v>
      </c>
      <c r="F144" s="83" t="s">
        <v>2494</v>
      </c>
      <c r="G144" t="s">
        <v>1874</v>
      </c>
    </row>
    <row r="145" spans="1:7" ht="12.75">
      <c r="A145">
        <f t="shared" si="2"/>
        <v>115</v>
      </c>
      <c r="B145" s="83" t="s">
        <v>210</v>
      </c>
      <c r="C145" t="s">
        <v>1515</v>
      </c>
      <c r="D145">
        <v>1</v>
      </c>
      <c r="E145" t="s">
        <v>303</v>
      </c>
      <c r="F145" s="83" t="s">
        <v>2496</v>
      </c>
      <c r="G145" t="s">
        <v>1873</v>
      </c>
    </row>
    <row r="146" spans="1:7" ht="12.75">
      <c r="A146">
        <f t="shared" si="2"/>
        <v>116</v>
      </c>
      <c r="B146" s="83" t="s">
        <v>1504</v>
      </c>
      <c r="C146" t="s">
        <v>1515</v>
      </c>
      <c r="D146">
        <v>1</v>
      </c>
      <c r="E146" t="s">
        <v>303</v>
      </c>
      <c r="F146" s="83" t="s">
        <v>2496</v>
      </c>
      <c r="G146" t="s">
        <v>1873</v>
      </c>
    </row>
    <row r="147" spans="1:7" ht="12.75">
      <c r="A147">
        <f t="shared" si="2"/>
        <v>117</v>
      </c>
      <c r="B147" s="83" t="s">
        <v>187</v>
      </c>
      <c r="C147" t="s">
        <v>1515</v>
      </c>
      <c r="D147">
        <v>1</v>
      </c>
      <c r="E147" t="s">
        <v>303</v>
      </c>
      <c r="F147" s="83" t="s">
        <v>2496</v>
      </c>
      <c r="G147" t="s">
        <v>1873</v>
      </c>
    </row>
    <row r="148" spans="1:7" ht="12.75">
      <c r="A148">
        <f t="shared" si="2"/>
        <v>118</v>
      </c>
      <c r="B148" s="83" t="s">
        <v>1468</v>
      </c>
      <c r="C148" t="s">
        <v>1481</v>
      </c>
      <c r="D148">
        <v>3</v>
      </c>
      <c r="E148" t="s">
        <v>297</v>
      </c>
      <c r="F148" s="83" t="s">
        <v>2492</v>
      </c>
      <c r="G148" t="s">
        <v>1874</v>
      </c>
    </row>
    <row r="149" spans="1:7" ht="12.75">
      <c r="A149">
        <f t="shared" si="2"/>
        <v>119</v>
      </c>
      <c r="B149" s="83" t="s">
        <v>187</v>
      </c>
      <c r="C149" t="s">
        <v>205</v>
      </c>
      <c r="D149">
        <v>1</v>
      </c>
      <c r="E149" t="s">
        <v>303</v>
      </c>
      <c r="F149" s="83" t="s">
        <v>2492</v>
      </c>
      <c r="G149" t="s">
        <v>1873</v>
      </c>
    </row>
    <row r="150" spans="1:7" ht="12.75">
      <c r="A150">
        <f t="shared" si="2"/>
        <v>120</v>
      </c>
      <c r="B150" s="83" t="s">
        <v>1468</v>
      </c>
      <c r="C150" t="s">
        <v>1482</v>
      </c>
      <c r="D150">
        <v>1</v>
      </c>
      <c r="E150" t="s">
        <v>289</v>
      </c>
      <c r="F150" s="83" t="s">
        <v>2499</v>
      </c>
      <c r="G150" t="s">
        <v>1876</v>
      </c>
    </row>
    <row r="151" spans="1:7" ht="12.75">
      <c r="A151">
        <f t="shared" si="2"/>
        <v>121</v>
      </c>
      <c r="B151" s="83" t="s">
        <v>1504</v>
      </c>
      <c r="C151" t="s">
        <v>1516</v>
      </c>
      <c r="D151">
        <v>2</v>
      </c>
      <c r="E151" t="s">
        <v>308</v>
      </c>
      <c r="F151" s="83" t="s">
        <v>2499</v>
      </c>
      <c r="G151" t="s">
        <v>1877</v>
      </c>
    </row>
    <row r="152" spans="1:7" ht="12.75">
      <c r="A152">
        <f t="shared" si="2"/>
        <v>122</v>
      </c>
      <c r="B152" s="83" t="s">
        <v>1435</v>
      </c>
      <c r="C152" t="s">
        <v>1462</v>
      </c>
      <c r="D152">
        <v>1</v>
      </c>
      <c r="E152" t="s">
        <v>297</v>
      </c>
      <c r="F152" s="83" t="s">
        <v>119</v>
      </c>
      <c r="G152" t="s">
        <v>1874</v>
      </c>
    </row>
    <row r="153" spans="1:7" ht="12.75">
      <c r="A153">
        <f t="shared" si="2"/>
        <v>123</v>
      </c>
      <c r="B153" s="83" t="s">
        <v>1435</v>
      </c>
      <c r="C153" t="s">
        <v>1463</v>
      </c>
      <c r="D153">
        <v>1</v>
      </c>
      <c r="E153" t="s">
        <v>297</v>
      </c>
      <c r="F153" s="83" t="s">
        <v>2494</v>
      </c>
      <c r="G153" t="s">
        <v>1874</v>
      </c>
    </row>
    <row r="154" spans="1:7" ht="12.75">
      <c r="A154">
        <f t="shared" si="2"/>
        <v>124</v>
      </c>
      <c r="B154" s="83" t="s">
        <v>1435</v>
      </c>
      <c r="C154" t="s">
        <v>1464</v>
      </c>
      <c r="D154">
        <v>1</v>
      </c>
      <c r="E154" t="s">
        <v>303</v>
      </c>
      <c r="F154" s="83" t="s">
        <v>2494</v>
      </c>
      <c r="G154" t="s">
        <v>1873</v>
      </c>
    </row>
    <row r="155" spans="1:7" ht="12.75">
      <c r="A155">
        <f t="shared" si="2"/>
        <v>125</v>
      </c>
      <c r="B155" s="83" t="s">
        <v>188</v>
      </c>
      <c r="C155" t="s">
        <v>1489</v>
      </c>
      <c r="D155">
        <v>1</v>
      </c>
      <c r="E155" t="s">
        <v>297</v>
      </c>
      <c r="F155" s="83" t="s">
        <v>2493</v>
      </c>
      <c r="G155" t="s">
        <v>1874</v>
      </c>
    </row>
    <row r="156" spans="1:7" ht="12.75">
      <c r="A156">
        <f t="shared" si="2"/>
        <v>126</v>
      </c>
      <c r="B156" s="83" t="s">
        <v>1490</v>
      </c>
      <c r="C156" t="s">
        <v>1489</v>
      </c>
      <c r="D156">
        <v>1</v>
      </c>
      <c r="E156" t="s">
        <v>297</v>
      </c>
      <c r="F156" s="83" t="s">
        <v>2493</v>
      </c>
      <c r="G156" t="s">
        <v>1874</v>
      </c>
    </row>
    <row r="157" spans="1:7" ht="12.75">
      <c r="A157">
        <f t="shared" si="2"/>
        <v>127</v>
      </c>
      <c r="B157" s="83" t="s">
        <v>210</v>
      </c>
      <c r="C157" t="s">
        <v>215</v>
      </c>
      <c r="D157">
        <v>1</v>
      </c>
      <c r="E157" t="s">
        <v>297</v>
      </c>
      <c r="F157" s="83" t="s">
        <v>2493</v>
      </c>
      <c r="G157" t="s">
        <v>1874</v>
      </c>
    </row>
    <row r="158" spans="1:7" ht="12.75">
      <c r="A158">
        <f t="shared" si="2"/>
        <v>128</v>
      </c>
      <c r="B158" s="83" t="s">
        <v>210</v>
      </c>
      <c r="C158" t="s">
        <v>216</v>
      </c>
      <c r="D158">
        <v>1</v>
      </c>
      <c r="E158" t="s">
        <v>289</v>
      </c>
      <c r="F158" s="83" t="s">
        <v>119</v>
      </c>
      <c r="G158" t="s">
        <v>1876</v>
      </c>
    </row>
    <row r="159" spans="1:6" ht="12.75">
      <c r="A159">
        <f t="shared" si="2"/>
        <v>129</v>
      </c>
      <c r="F159" s="83"/>
    </row>
    <row r="160" spans="1:6" ht="12.75">
      <c r="A160">
        <f aca="true" t="shared" si="3" ref="A160:A173">A159+1</f>
        <v>130</v>
      </c>
      <c r="F160" s="83"/>
    </row>
    <row r="161" spans="1:6" ht="12.75">
      <c r="A161">
        <f t="shared" si="3"/>
        <v>131</v>
      </c>
      <c r="F161" s="83"/>
    </row>
    <row r="162" spans="1:6" ht="12.75">
      <c r="A162">
        <f t="shared" si="3"/>
        <v>132</v>
      </c>
      <c r="F162" s="83"/>
    </row>
    <row r="163" spans="1:6" ht="12.75">
      <c r="A163">
        <f t="shared" si="3"/>
        <v>133</v>
      </c>
      <c r="F163" s="83"/>
    </row>
    <row r="164" spans="1:6" ht="12.75">
      <c r="A164">
        <f t="shared" si="3"/>
        <v>134</v>
      </c>
      <c r="F164" s="83"/>
    </row>
    <row r="165" spans="1:6" ht="12.75">
      <c r="A165">
        <f t="shared" si="3"/>
        <v>135</v>
      </c>
      <c r="F165" s="83"/>
    </row>
    <row r="166" spans="1:6" ht="12.75">
      <c r="A166">
        <f t="shared" si="3"/>
        <v>136</v>
      </c>
      <c r="F166" s="83"/>
    </row>
    <row r="167" spans="1:6" ht="12.75">
      <c r="A167">
        <f t="shared" si="3"/>
        <v>137</v>
      </c>
      <c r="F167" s="83"/>
    </row>
    <row r="168" spans="1:6" ht="12.75">
      <c r="A168">
        <f t="shared" si="3"/>
        <v>138</v>
      </c>
      <c r="F168" s="83"/>
    </row>
    <row r="169" spans="1:6" ht="12.75">
      <c r="A169">
        <f t="shared" si="3"/>
        <v>139</v>
      </c>
      <c r="F169" s="83"/>
    </row>
    <row r="170" spans="1:6" ht="12.75">
      <c r="A170">
        <f t="shared" si="3"/>
        <v>140</v>
      </c>
      <c r="F170" s="83"/>
    </row>
    <row r="171" spans="1:6" ht="12.75">
      <c r="A171">
        <f t="shared" si="3"/>
        <v>141</v>
      </c>
      <c r="F171" s="83"/>
    </row>
    <row r="172" ht="12.75">
      <c r="A172">
        <f t="shared" si="3"/>
        <v>142</v>
      </c>
    </row>
    <row r="173" ht="12.75">
      <c r="A173">
        <f t="shared" si="3"/>
        <v>143</v>
      </c>
    </row>
  </sheetData>
  <sheetProtection password="C795" sheet="1" objects="1" scenarios="1"/>
  <printOptions/>
  <pageMargins left="0.75" right="0.75" top="1" bottom="1" header="0.4921259845" footer="0.4921259845"/>
  <pageSetup orientation="portrait" paperSize="9"/>
</worksheet>
</file>

<file path=xl/worksheets/sheet19.xml><?xml version="1.0" encoding="utf-8"?>
<worksheet xmlns="http://schemas.openxmlformats.org/spreadsheetml/2006/main" xmlns:r="http://schemas.openxmlformats.org/officeDocument/2006/relationships">
  <sheetPr codeName="Tabelle19"/>
  <dimension ref="B2:R194"/>
  <sheetViews>
    <sheetView workbookViewId="0" topLeftCell="A102">
      <selection activeCell="C127" sqref="C127"/>
    </sheetView>
  </sheetViews>
  <sheetFormatPr defaultColWidth="11.421875" defaultRowHeight="12.75"/>
  <cols>
    <col min="1" max="1" width="1.1484375" style="0" customWidth="1"/>
    <col min="2" max="2" width="3.8515625" style="0" customWidth="1"/>
    <col min="3" max="3" width="31.8515625" style="0" bestFit="1" customWidth="1"/>
    <col min="4" max="4" width="11.421875" style="83" customWidth="1"/>
    <col min="9" max="10" width="11.421875" style="11" customWidth="1"/>
    <col min="14" max="17" width="11.421875" style="83" customWidth="1"/>
  </cols>
  <sheetData>
    <row r="1" ht="3.75" customHeight="1"/>
    <row r="2" spans="2:15" ht="12.75">
      <c r="B2" s="9" t="s">
        <v>831</v>
      </c>
      <c r="C2" s="9"/>
      <c r="D2" s="108"/>
      <c r="E2" s="9"/>
      <c r="F2" s="9"/>
      <c r="G2" s="9"/>
      <c r="H2" s="9"/>
      <c r="I2" s="82" t="s">
        <v>914</v>
      </c>
      <c r="J2" s="82"/>
      <c r="K2" s="82" t="s">
        <v>915</v>
      </c>
      <c r="L2" s="82"/>
      <c r="M2" s="82"/>
      <c r="O2" s="108" t="s">
        <v>348</v>
      </c>
    </row>
    <row r="3" spans="2:17" ht="12.75">
      <c r="B3" s="9"/>
      <c r="C3" s="9" t="s">
        <v>887</v>
      </c>
      <c r="D3" s="108" t="s">
        <v>888</v>
      </c>
      <c r="E3" s="9" t="s">
        <v>889</v>
      </c>
      <c r="F3" s="9" t="s">
        <v>890</v>
      </c>
      <c r="G3" s="9" t="s">
        <v>917</v>
      </c>
      <c r="H3" s="9" t="s">
        <v>916</v>
      </c>
      <c r="I3" s="82" t="s">
        <v>891</v>
      </c>
      <c r="J3" s="82" t="s">
        <v>541</v>
      </c>
      <c r="K3" s="82" t="s">
        <v>891</v>
      </c>
      <c r="L3" s="82" t="s">
        <v>541</v>
      </c>
      <c r="M3" s="82" t="s">
        <v>237</v>
      </c>
      <c r="N3" s="83" t="s">
        <v>347</v>
      </c>
      <c r="O3" s="83" t="s">
        <v>473</v>
      </c>
      <c r="P3" s="83" t="s">
        <v>494</v>
      </c>
      <c r="Q3" s="83" t="s">
        <v>541</v>
      </c>
    </row>
    <row r="4" spans="2:17" ht="12.75">
      <c r="B4">
        <f aca="true" t="shared" si="0" ref="B4:B68">B3+1</f>
        <v>1</v>
      </c>
      <c r="C4" s="114" t="s">
        <v>924</v>
      </c>
      <c r="E4" s="114"/>
      <c r="F4" s="114"/>
      <c r="G4" s="114"/>
      <c r="H4" s="114"/>
      <c r="I4" s="113"/>
      <c r="J4" s="83"/>
      <c r="K4" s="114"/>
      <c r="L4" s="83"/>
      <c r="M4" s="83" t="s">
        <v>238</v>
      </c>
      <c r="N4" s="114" t="s">
        <v>924</v>
      </c>
      <c r="O4" s="114" t="s">
        <v>924</v>
      </c>
      <c r="P4" s="114" t="s">
        <v>924</v>
      </c>
      <c r="Q4" s="114" t="s">
        <v>924</v>
      </c>
    </row>
    <row r="5" spans="2:13" ht="12.75">
      <c r="B5">
        <f>B4+1</f>
        <v>2</v>
      </c>
      <c r="C5" t="s">
        <v>918</v>
      </c>
      <c r="D5" s="83" t="s">
        <v>65</v>
      </c>
      <c r="E5" t="s">
        <v>541</v>
      </c>
      <c r="F5" t="s">
        <v>500</v>
      </c>
      <c r="G5">
        <v>13</v>
      </c>
      <c r="K5" s="11" t="s">
        <v>332</v>
      </c>
      <c r="L5" s="11" t="s">
        <v>330</v>
      </c>
      <c r="M5" t="str">
        <f>IF($K5=0,"NEIN","JA")</f>
        <v>JA</v>
      </c>
    </row>
    <row r="6" spans="2:17" ht="12.75">
      <c r="B6">
        <f t="shared" si="0"/>
        <v>3</v>
      </c>
      <c r="C6" t="s">
        <v>892</v>
      </c>
      <c r="D6" s="83">
        <v>7</v>
      </c>
      <c r="E6" t="s">
        <v>494</v>
      </c>
      <c r="F6" t="s">
        <v>500</v>
      </c>
      <c r="H6">
        <v>7</v>
      </c>
      <c r="K6" s="11" t="s">
        <v>335</v>
      </c>
      <c r="L6" s="11" t="s">
        <v>335</v>
      </c>
      <c r="M6" t="s">
        <v>277</v>
      </c>
      <c r="N6" s="83">
        <v>1</v>
      </c>
      <c r="O6" s="83">
        <v>6</v>
      </c>
      <c r="P6" s="83">
        <v>12</v>
      </c>
      <c r="Q6" s="83">
        <v>18</v>
      </c>
    </row>
    <row r="7" spans="2:17" ht="12.75">
      <c r="B7">
        <f t="shared" si="0"/>
        <v>4</v>
      </c>
      <c r="C7" t="s">
        <v>893</v>
      </c>
      <c r="D7" s="83">
        <v>14</v>
      </c>
      <c r="E7" t="s">
        <v>494</v>
      </c>
      <c r="F7" t="s">
        <v>500</v>
      </c>
      <c r="H7">
        <v>10</v>
      </c>
      <c r="K7" s="11" t="s">
        <v>428</v>
      </c>
      <c r="L7" s="11" t="s">
        <v>334</v>
      </c>
      <c r="M7" t="s">
        <v>277</v>
      </c>
      <c r="N7" s="83" t="s">
        <v>845</v>
      </c>
      <c r="O7" s="83" t="s">
        <v>63</v>
      </c>
      <c r="P7" s="83" t="s">
        <v>349</v>
      </c>
      <c r="Q7" s="83" t="s">
        <v>350</v>
      </c>
    </row>
    <row r="8" spans="2:13" ht="12.75">
      <c r="B8">
        <f t="shared" si="0"/>
        <v>5</v>
      </c>
      <c r="C8" t="s">
        <v>217</v>
      </c>
      <c r="D8" s="83" t="s">
        <v>60</v>
      </c>
      <c r="E8" t="s">
        <v>541</v>
      </c>
      <c r="F8" t="s">
        <v>500</v>
      </c>
      <c r="G8">
        <v>5</v>
      </c>
      <c r="K8" s="11" t="s">
        <v>332</v>
      </c>
      <c r="L8" s="11" t="s">
        <v>331</v>
      </c>
      <c r="M8" t="str">
        <f aca="true" t="shared" si="1" ref="M8:M34">IF($K8=0,"NEIN","JA")</f>
        <v>JA</v>
      </c>
    </row>
    <row r="9" spans="2:13" ht="12.75">
      <c r="B9">
        <f t="shared" si="0"/>
        <v>6</v>
      </c>
      <c r="C9" t="s">
        <v>218</v>
      </c>
      <c r="D9" s="83" t="s">
        <v>60</v>
      </c>
      <c r="E9" t="s">
        <v>473</v>
      </c>
      <c r="F9" t="s">
        <v>1433</v>
      </c>
      <c r="G9">
        <v>3</v>
      </c>
      <c r="I9" s="11" t="s">
        <v>332</v>
      </c>
      <c r="J9" s="11" t="s">
        <v>332</v>
      </c>
      <c r="M9" t="str">
        <f t="shared" si="1"/>
        <v>NEIN</v>
      </c>
    </row>
    <row r="10" spans="2:13" ht="12.75">
      <c r="B10">
        <f t="shared" si="0"/>
        <v>7</v>
      </c>
      <c r="C10" t="s">
        <v>569</v>
      </c>
      <c r="D10" s="83" t="s">
        <v>65</v>
      </c>
      <c r="E10" t="s">
        <v>541</v>
      </c>
      <c r="F10" t="s">
        <v>473</v>
      </c>
      <c r="G10">
        <v>9</v>
      </c>
      <c r="K10" s="11" t="s">
        <v>429</v>
      </c>
      <c r="L10" s="11" t="s">
        <v>336</v>
      </c>
      <c r="M10" t="str">
        <f t="shared" si="1"/>
        <v>JA</v>
      </c>
    </row>
    <row r="11" spans="2:13" ht="12.75">
      <c r="B11">
        <f t="shared" si="0"/>
        <v>8</v>
      </c>
      <c r="C11" t="s">
        <v>437</v>
      </c>
      <c r="D11" s="83" t="s">
        <v>38</v>
      </c>
      <c r="E11" t="s">
        <v>494</v>
      </c>
      <c r="F11" t="s">
        <v>473</v>
      </c>
      <c r="G11">
        <v>6</v>
      </c>
      <c r="H11">
        <v>8</v>
      </c>
      <c r="I11" s="11" t="s">
        <v>331</v>
      </c>
      <c r="J11" s="11" t="s">
        <v>330</v>
      </c>
      <c r="K11" t="s">
        <v>429</v>
      </c>
      <c r="L11" t="s">
        <v>434</v>
      </c>
      <c r="M11" t="str">
        <f t="shared" si="1"/>
        <v>JA</v>
      </c>
    </row>
    <row r="12" spans="2:13" ht="12.75">
      <c r="B12">
        <f t="shared" si="0"/>
        <v>9</v>
      </c>
      <c r="C12" t="s">
        <v>904</v>
      </c>
      <c r="D12" s="83">
        <v>4</v>
      </c>
      <c r="E12" t="s">
        <v>541</v>
      </c>
      <c r="F12" t="s">
        <v>484</v>
      </c>
      <c r="G12">
        <v>4</v>
      </c>
      <c r="H12">
        <v>4</v>
      </c>
      <c r="K12" s="11" t="s">
        <v>332</v>
      </c>
      <c r="L12" s="11" t="s">
        <v>332</v>
      </c>
      <c r="M12" t="str">
        <f t="shared" si="1"/>
        <v>JA</v>
      </c>
    </row>
    <row r="13" spans="2:13" ht="12.75">
      <c r="B13">
        <f t="shared" si="0"/>
        <v>10</v>
      </c>
      <c r="C13" t="s">
        <v>580</v>
      </c>
      <c r="D13" s="83" t="s">
        <v>48</v>
      </c>
      <c r="E13" t="s">
        <v>473</v>
      </c>
      <c r="F13" t="s">
        <v>473</v>
      </c>
      <c r="G13">
        <v>4</v>
      </c>
      <c r="I13" s="11" t="s">
        <v>428</v>
      </c>
      <c r="J13" s="11" t="s">
        <v>428</v>
      </c>
      <c r="M13" t="str">
        <f t="shared" si="1"/>
        <v>NEIN</v>
      </c>
    </row>
    <row r="14" spans="2:17" ht="12.75">
      <c r="B14">
        <f t="shared" si="0"/>
        <v>11</v>
      </c>
      <c r="C14" t="s">
        <v>894</v>
      </c>
      <c r="D14" s="83">
        <v>2</v>
      </c>
      <c r="E14" t="s">
        <v>541</v>
      </c>
      <c r="F14" t="s">
        <v>500</v>
      </c>
      <c r="H14">
        <v>5</v>
      </c>
      <c r="K14" s="11" t="s">
        <v>425</v>
      </c>
      <c r="L14" s="11" t="s">
        <v>442</v>
      </c>
      <c r="M14" t="s">
        <v>277</v>
      </c>
      <c r="N14" s="83" t="s">
        <v>842</v>
      </c>
      <c r="O14" s="83" t="s">
        <v>36</v>
      </c>
      <c r="P14" s="83" t="s">
        <v>59</v>
      </c>
      <c r="Q14" s="83" t="s">
        <v>48</v>
      </c>
    </row>
    <row r="15" spans="2:17" ht="12.75">
      <c r="B15">
        <f t="shared" si="0"/>
        <v>12</v>
      </c>
      <c r="C15" t="s">
        <v>895</v>
      </c>
      <c r="D15" s="83">
        <v>2</v>
      </c>
      <c r="E15" t="s">
        <v>541</v>
      </c>
      <c r="F15" t="s">
        <v>500</v>
      </c>
      <c r="H15">
        <v>5</v>
      </c>
      <c r="K15" s="11">
        <v>1</v>
      </c>
      <c r="L15" s="11">
        <v>1</v>
      </c>
      <c r="M15" t="s">
        <v>277</v>
      </c>
      <c r="N15" s="83" t="s">
        <v>842</v>
      </c>
      <c r="O15" s="83" t="s">
        <v>36</v>
      </c>
      <c r="P15" s="83" t="s">
        <v>59</v>
      </c>
      <c r="Q15" s="83" t="s">
        <v>48</v>
      </c>
    </row>
    <row r="16" spans="2:13" ht="12.75">
      <c r="B16">
        <f t="shared" si="0"/>
        <v>13</v>
      </c>
      <c r="C16" t="s">
        <v>1420</v>
      </c>
      <c r="D16" s="83" t="s">
        <v>60</v>
      </c>
      <c r="E16" t="s">
        <v>541</v>
      </c>
      <c r="F16" t="s">
        <v>484</v>
      </c>
      <c r="G16">
        <v>4</v>
      </c>
      <c r="I16" s="11" t="s">
        <v>332</v>
      </c>
      <c r="J16" s="11" t="s">
        <v>335</v>
      </c>
      <c r="M16" t="str">
        <f t="shared" si="1"/>
        <v>NEIN</v>
      </c>
    </row>
    <row r="17" spans="2:17" ht="12.75">
      <c r="B17">
        <f t="shared" si="0"/>
        <v>14</v>
      </c>
      <c r="C17" t="s">
        <v>1419</v>
      </c>
      <c r="D17" s="83" t="s">
        <v>59</v>
      </c>
      <c r="E17" t="s">
        <v>494</v>
      </c>
      <c r="F17" t="s">
        <v>484</v>
      </c>
      <c r="G17">
        <v>8</v>
      </c>
      <c r="I17" s="11" t="s">
        <v>425</v>
      </c>
      <c r="J17" s="11" t="s">
        <v>442</v>
      </c>
      <c r="M17" t="s">
        <v>1940</v>
      </c>
      <c r="N17" s="83" t="s">
        <v>36</v>
      </c>
      <c r="O17" s="83" t="s">
        <v>48</v>
      </c>
      <c r="P17" s="83" t="s">
        <v>61</v>
      </c>
      <c r="Q17" s="83" t="s">
        <v>64</v>
      </c>
    </row>
    <row r="18" spans="2:13" ht="12.75">
      <c r="B18">
        <f t="shared" si="0"/>
        <v>15</v>
      </c>
      <c r="C18" t="s">
        <v>219</v>
      </c>
      <c r="D18" s="83" t="s">
        <v>36</v>
      </c>
      <c r="E18" t="s">
        <v>473</v>
      </c>
      <c r="F18" t="s">
        <v>484</v>
      </c>
      <c r="G18">
        <v>6</v>
      </c>
      <c r="I18" s="11" t="s">
        <v>231</v>
      </c>
      <c r="J18" s="11" t="s">
        <v>428</v>
      </c>
      <c r="M18" t="str">
        <f t="shared" si="1"/>
        <v>NEIN</v>
      </c>
    </row>
    <row r="19" spans="2:13" ht="12.75">
      <c r="B19">
        <f t="shared" si="0"/>
        <v>16</v>
      </c>
      <c r="C19" t="s">
        <v>220</v>
      </c>
      <c r="D19" s="83" t="s">
        <v>36</v>
      </c>
      <c r="E19" t="s">
        <v>473</v>
      </c>
      <c r="F19" t="s">
        <v>484</v>
      </c>
      <c r="G19">
        <v>6</v>
      </c>
      <c r="I19" s="11" t="s">
        <v>231</v>
      </c>
      <c r="J19" s="11" t="s">
        <v>428</v>
      </c>
      <c r="M19" t="str">
        <f t="shared" si="1"/>
        <v>NEIN</v>
      </c>
    </row>
    <row r="20" spans="2:13" ht="12.75">
      <c r="B20">
        <f t="shared" si="0"/>
        <v>17</v>
      </c>
      <c r="C20" t="s">
        <v>664</v>
      </c>
      <c r="D20" s="83" t="s">
        <v>59</v>
      </c>
      <c r="E20" t="s">
        <v>473</v>
      </c>
      <c r="F20" t="s">
        <v>473</v>
      </c>
      <c r="G20">
        <v>2</v>
      </c>
      <c r="I20" s="11" t="s">
        <v>335</v>
      </c>
      <c r="J20" s="11" t="s">
        <v>425</v>
      </c>
      <c r="M20" t="str">
        <f t="shared" si="1"/>
        <v>NEIN</v>
      </c>
    </row>
    <row r="21" spans="2:13" ht="12.75">
      <c r="B21">
        <f t="shared" si="0"/>
        <v>18</v>
      </c>
      <c r="C21" t="s">
        <v>446</v>
      </c>
      <c r="D21" s="83" t="s">
        <v>38</v>
      </c>
      <c r="E21" t="s">
        <v>494</v>
      </c>
      <c r="F21" t="s">
        <v>500</v>
      </c>
      <c r="H21">
        <v>8</v>
      </c>
      <c r="K21" t="s">
        <v>429</v>
      </c>
      <c r="L21" t="s">
        <v>336</v>
      </c>
      <c r="M21" t="str">
        <f>IF($K21=0,"NEIN","JA")</f>
        <v>JA</v>
      </c>
    </row>
    <row r="22" spans="2:17" ht="12.75">
      <c r="B22">
        <f t="shared" si="0"/>
        <v>19</v>
      </c>
      <c r="C22" t="s">
        <v>1421</v>
      </c>
      <c r="D22" s="83" t="s">
        <v>48</v>
      </c>
      <c r="E22" t="s">
        <v>541</v>
      </c>
      <c r="F22" t="s">
        <v>500</v>
      </c>
      <c r="H22">
        <v>7</v>
      </c>
      <c r="K22" s="11" t="s">
        <v>331</v>
      </c>
      <c r="L22" s="11" t="s">
        <v>332</v>
      </c>
      <c r="M22" t="s">
        <v>277</v>
      </c>
      <c r="N22" s="83" t="s">
        <v>842</v>
      </c>
      <c r="O22" s="83" t="s">
        <v>62</v>
      </c>
      <c r="P22" s="83" t="s">
        <v>72</v>
      </c>
      <c r="Q22" s="83" t="s">
        <v>351</v>
      </c>
    </row>
    <row r="23" spans="2:13" ht="12.75">
      <c r="B23">
        <f t="shared" si="0"/>
        <v>20</v>
      </c>
      <c r="C23" t="s">
        <v>681</v>
      </c>
      <c r="D23" s="83" t="s">
        <v>37</v>
      </c>
      <c r="E23" t="s">
        <v>494</v>
      </c>
      <c r="F23" t="s">
        <v>473</v>
      </c>
      <c r="G23">
        <v>4</v>
      </c>
      <c r="I23" s="11" t="s">
        <v>334</v>
      </c>
      <c r="J23" s="11" t="s">
        <v>432</v>
      </c>
      <c r="M23" t="str">
        <f t="shared" si="1"/>
        <v>NEIN</v>
      </c>
    </row>
    <row r="24" spans="2:17" ht="12.75">
      <c r="B24">
        <f t="shared" si="0"/>
        <v>21</v>
      </c>
      <c r="C24" t="s">
        <v>426</v>
      </c>
      <c r="D24" s="83">
        <v>1</v>
      </c>
      <c r="E24" t="s">
        <v>473</v>
      </c>
      <c r="F24" t="s">
        <v>500</v>
      </c>
      <c r="G24">
        <v>1</v>
      </c>
      <c r="H24" t="s">
        <v>1848</v>
      </c>
      <c r="I24" s="11" t="s">
        <v>335</v>
      </c>
      <c r="J24" s="11" t="s">
        <v>425</v>
      </c>
      <c r="M24" t="str">
        <f t="shared" si="1"/>
        <v>NEIN</v>
      </c>
      <c r="N24" s="83" t="s">
        <v>842</v>
      </c>
      <c r="O24" s="83" t="s">
        <v>36</v>
      </c>
      <c r="P24" s="83" t="s">
        <v>59</v>
      </c>
      <c r="Q24" s="83" t="s">
        <v>48</v>
      </c>
    </row>
    <row r="25" spans="2:17" ht="12.75">
      <c r="B25">
        <f t="shared" si="0"/>
        <v>22</v>
      </c>
      <c r="C25" t="s">
        <v>1422</v>
      </c>
      <c r="D25" s="83" t="s">
        <v>36</v>
      </c>
      <c r="E25" t="s">
        <v>494</v>
      </c>
      <c r="F25" t="s">
        <v>500</v>
      </c>
      <c r="G25">
        <v>2</v>
      </c>
      <c r="I25" s="11" t="s">
        <v>442</v>
      </c>
      <c r="J25" s="11" t="s">
        <v>442</v>
      </c>
      <c r="M25" t="str">
        <f t="shared" si="1"/>
        <v>NEIN</v>
      </c>
      <c r="N25" s="83" t="s">
        <v>842</v>
      </c>
      <c r="O25" s="83" t="s">
        <v>36</v>
      </c>
      <c r="P25" s="83" t="s">
        <v>59</v>
      </c>
      <c r="Q25" s="83" t="s">
        <v>48</v>
      </c>
    </row>
    <row r="26" spans="2:17" ht="12.75">
      <c r="B26">
        <f t="shared" si="0"/>
        <v>23</v>
      </c>
      <c r="C26" t="s">
        <v>1423</v>
      </c>
      <c r="D26" s="83" t="s">
        <v>36</v>
      </c>
      <c r="E26" t="s">
        <v>473</v>
      </c>
      <c r="F26" t="s">
        <v>500</v>
      </c>
      <c r="G26">
        <v>2</v>
      </c>
      <c r="I26" s="11" t="s">
        <v>425</v>
      </c>
      <c r="J26" s="11" t="s">
        <v>425</v>
      </c>
      <c r="M26" t="str">
        <f t="shared" si="1"/>
        <v>NEIN</v>
      </c>
      <c r="N26" s="83" t="s">
        <v>842</v>
      </c>
      <c r="O26" s="83" t="s">
        <v>36</v>
      </c>
      <c r="P26" s="83" t="s">
        <v>59</v>
      </c>
      <c r="Q26" s="83" t="s">
        <v>48</v>
      </c>
    </row>
    <row r="27" spans="2:17" ht="12.75">
      <c r="B27">
        <f t="shared" si="0"/>
        <v>24</v>
      </c>
      <c r="C27" t="s">
        <v>708</v>
      </c>
      <c r="D27" s="83">
        <v>5</v>
      </c>
      <c r="E27" t="s">
        <v>541</v>
      </c>
      <c r="F27" t="s">
        <v>500</v>
      </c>
      <c r="G27">
        <v>7</v>
      </c>
      <c r="H27">
        <v>7</v>
      </c>
      <c r="I27" s="11" t="s">
        <v>334</v>
      </c>
      <c r="J27" s="11" t="s">
        <v>333</v>
      </c>
      <c r="K27" t="s">
        <v>432</v>
      </c>
      <c r="L27" t="s">
        <v>333</v>
      </c>
      <c r="M27" t="str">
        <f t="shared" si="1"/>
        <v>JA</v>
      </c>
      <c r="N27" s="83" t="s">
        <v>36</v>
      </c>
      <c r="O27" s="83" t="s">
        <v>119</v>
      </c>
      <c r="P27" s="83" t="s">
        <v>36</v>
      </c>
      <c r="Q27" s="83" t="s">
        <v>59</v>
      </c>
    </row>
    <row r="28" spans="2:13" ht="12.75">
      <c r="B28">
        <f t="shared" si="0"/>
        <v>25</v>
      </c>
      <c r="C28" t="s">
        <v>206</v>
      </c>
      <c r="D28" s="83" t="s">
        <v>48</v>
      </c>
      <c r="E28" t="s">
        <v>494</v>
      </c>
      <c r="F28" t="s">
        <v>484</v>
      </c>
      <c r="G28">
        <v>6</v>
      </c>
      <c r="I28" s="11" t="s">
        <v>428</v>
      </c>
      <c r="J28" s="11" t="s">
        <v>428</v>
      </c>
      <c r="M28" t="str">
        <f t="shared" si="1"/>
        <v>NEIN</v>
      </c>
    </row>
    <row r="29" spans="2:13" ht="12.75">
      <c r="B29">
        <f t="shared" si="0"/>
        <v>26</v>
      </c>
      <c r="C29" t="s">
        <v>710</v>
      </c>
      <c r="D29" s="83" t="s">
        <v>48</v>
      </c>
      <c r="E29" t="s">
        <v>494</v>
      </c>
      <c r="F29" t="s">
        <v>473</v>
      </c>
      <c r="G29">
        <v>3</v>
      </c>
      <c r="I29" s="11" t="s">
        <v>334</v>
      </c>
      <c r="J29" s="11" t="s">
        <v>432</v>
      </c>
      <c r="M29" t="str">
        <f t="shared" si="1"/>
        <v>NEIN</v>
      </c>
    </row>
    <row r="30" spans="2:13" ht="12.75">
      <c r="B30">
        <f t="shared" si="0"/>
        <v>27</v>
      </c>
      <c r="C30" t="s">
        <v>207</v>
      </c>
      <c r="D30" s="83" t="s">
        <v>920</v>
      </c>
      <c r="E30" t="s">
        <v>473</v>
      </c>
      <c r="F30" t="s">
        <v>500</v>
      </c>
      <c r="G30">
        <v>2</v>
      </c>
      <c r="I30" s="11" t="s">
        <v>335</v>
      </c>
      <c r="J30" s="11" t="s">
        <v>425</v>
      </c>
      <c r="M30" t="str">
        <f t="shared" si="1"/>
        <v>NEIN</v>
      </c>
    </row>
    <row r="31" spans="2:13" ht="12.75">
      <c r="B31">
        <f t="shared" si="0"/>
        <v>28</v>
      </c>
      <c r="C31" t="s">
        <v>232</v>
      </c>
      <c r="D31" s="83" t="s">
        <v>59</v>
      </c>
      <c r="E31" t="s">
        <v>473</v>
      </c>
      <c r="F31" t="s">
        <v>500</v>
      </c>
      <c r="G31">
        <v>2</v>
      </c>
      <c r="I31" t="s">
        <v>335</v>
      </c>
      <c r="J31" s="11" t="s">
        <v>425</v>
      </c>
      <c r="M31" t="str">
        <f t="shared" si="1"/>
        <v>NEIN</v>
      </c>
    </row>
    <row r="32" spans="2:13" ht="12.75">
      <c r="B32">
        <f t="shared" si="0"/>
        <v>29</v>
      </c>
      <c r="C32" t="s">
        <v>445</v>
      </c>
      <c r="D32" s="83">
        <v>8</v>
      </c>
      <c r="E32" t="s">
        <v>541</v>
      </c>
      <c r="F32" t="s">
        <v>1848</v>
      </c>
      <c r="G32">
        <v>7</v>
      </c>
      <c r="I32" s="113" t="s">
        <v>924</v>
      </c>
      <c r="J32" s="113" t="s">
        <v>924</v>
      </c>
      <c r="M32" t="str">
        <f t="shared" si="1"/>
        <v>NEIN</v>
      </c>
    </row>
    <row r="33" spans="2:13" ht="12.75">
      <c r="B33">
        <f t="shared" si="0"/>
        <v>30</v>
      </c>
      <c r="C33" t="s">
        <v>221</v>
      </c>
      <c r="D33" s="83" t="s">
        <v>48</v>
      </c>
      <c r="E33" t="s">
        <v>473</v>
      </c>
      <c r="F33" t="s">
        <v>230</v>
      </c>
      <c r="G33">
        <v>4</v>
      </c>
      <c r="I33" s="11" t="s">
        <v>335</v>
      </c>
      <c r="J33" s="11" t="s">
        <v>425</v>
      </c>
      <c r="M33" t="str">
        <f t="shared" si="1"/>
        <v>NEIN</v>
      </c>
    </row>
    <row r="34" spans="2:17" ht="12.75">
      <c r="B34">
        <f t="shared" si="0"/>
        <v>31</v>
      </c>
      <c r="C34" t="s">
        <v>226</v>
      </c>
      <c r="D34" s="83" t="s">
        <v>924</v>
      </c>
      <c r="E34" t="s">
        <v>473</v>
      </c>
      <c r="F34" t="s">
        <v>484</v>
      </c>
      <c r="G34" s="114" t="s">
        <v>924</v>
      </c>
      <c r="I34" s="11" t="s">
        <v>428</v>
      </c>
      <c r="J34" s="11" t="s">
        <v>334</v>
      </c>
      <c r="M34" t="str">
        <f t="shared" si="1"/>
        <v>NEIN</v>
      </c>
      <c r="N34" s="83" t="s">
        <v>36</v>
      </c>
      <c r="O34" s="83" t="s">
        <v>48</v>
      </c>
      <c r="P34" s="83" t="s">
        <v>61</v>
      </c>
      <c r="Q34" s="83" t="s">
        <v>64</v>
      </c>
    </row>
    <row r="35" spans="2:13" ht="12.75">
      <c r="B35">
        <f t="shared" si="0"/>
        <v>32</v>
      </c>
      <c r="C35" t="s">
        <v>902</v>
      </c>
      <c r="D35" s="83">
        <v>15</v>
      </c>
      <c r="E35" t="s">
        <v>494</v>
      </c>
      <c r="F35" t="s">
        <v>484</v>
      </c>
      <c r="G35">
        <v>7</v>
      </c>
      <c r="H35">
        <v>7</v>
      </c>
      <c r="I35" s="11" t="s">
        <v>334</v>
      </c>
      <c r="J35" s="11" t="s">
        <v>429</v>
      </c>
      <c r="K35" s="11" t="s">
        <v>334</v>
      </c>
      <c r="L35" s="11" t="s">
        <v>429</v>
      </c>
      <c r="M35" s="83" t="s">
        <v>2496</v>
      </c>
    </row>
    <row r="36" spans="2:13" ht="12.75">
      <c r="B36">
        <f t="shared" si="0"/>
        <v>33</v>
      </c>
      <c r="C36" t="s">
        <v>338</v>
      </c>
      <c r="D36" s="83">
        <v>5</v>
      </c>
      <c r="E36" t="s">
        <v>494</v>
      </c>
      <c r="F36" t="s">
        <v>484</v>
      </c>
      <c r="G36">
        <v>6</v>
      </c>
      <c r="H36">
        <v>6</v>
      </c>
      <c r="I36" s="11" t="s">
        <v>428</v>
      </c>
      <c r="J36" s="11" t="s">
        <v>428</v>
      </c>
      <c r="K36" s="11" t="s">
        <v>428</v>
      </c>
      <c r="L36" s="11" t="s">
        <v>428</v>
      </c>
      <c r="M36" s="83" t="s">
        <v>2496</v>
      </c>
    </row>
    <row r="37" spans="2:13" ht="12.75">
      <c r="B37">
        <f t="shared" si="0"/>
        <v>34</v>
      </c>
      <c r="C37" t="s">
        <v>1042</v>
      </c>
      <c r="D37" s="83" t="s">
        <v>64</v>
      </c>
      <c r="E37" t="s">
        <v>541</v>
      </c>
      <c r="F37" t="s">
        <v>337</v>
      </c>
      <c r="G37">
        <v>8</v>
      </c>
      <c r="K37" s="11" t="s">
        <v>331</v>
      </c>
      <c r="L37" s="11" t="s">
        <v>328</v>
      </c>
      <c r="M37" t="str">
        <f>IF($K37=0,"NEIN","JA")</f>
        <v>JA</v>
      </c>
    </row>
    <row r="38" spans="2:13" ht="12.75">
      <c r="B38">
        <f t="shared" si="0"/>
        <v>35</v>
      </c>
      <c r="C38" t="s">
        <v>903</v>
      </c>
      <c r="D38" s="83">
        <v>2</v>
      </c>
      <c r="E38" t="s">
        <v>473</v>
      </c>
      <c r="F38" t="s">
        <v>1848</v>
      </c>
      <c r="G38">
        <v>5</v>
      </c>
      <c r="I38" s="11" t="s">
        <v>335</v>
      </c>
      <c r="J38" s="11" t="s">
        <v>442</v>
      </c>
      <c r="M38" t="str">
        <f aca="true" t="shared" si="2" ref="M38:M53">IF($K38=0,"NEIN","JA")</f>
        <v>NEIN</v>
      </c>
    </row>
    <row r="39" spans="2:17" ht="12.75">
      <c r="B39">
        <f t="shared" si="0"/>
        <v>36</v>
      </c>
      <c r="C39" t="s">
        <v>227</v>
      </c>
      <c r="D39" s="83" t="s">
        <v>924</v>
      </c>
      <c r="E39" t="s">
        <v>473</v>
      </c>
      <c r="F39" t="s">
        <v>484</v>
      </c>
      <c r="G39" s="114" t="s">
        <v>924</v>
      </c>
      <c r="I39" s="11" t="s">
        <v>335</v>
      </c>
      <c r="J39" s="11" t="s">
        <v>335</v>
      </c>
      <c r="M39" t="str">
        <f t="shared" si="2"/>
        <v>NEIN</v>
      </c>
      <c r="N39" s="83" t="s">
        <v>36</v>
      </c>
      <c r="O39" s="83" t="s">
        <v>48</v>
      </c>
      <c r="P39" s="83" t="s">
        <v>61</v>
      </c>
      <c r="Q39" s="83" t="s">
        <v>64</v>
      </c>
    </row>
    <row r="40" spans="2:13" ht="12.75">
      <c r="B40">
        <f t="shared" si="0"/>
        <v>37</v>
      </c>
      <c r="C40" t="s">
        <v>1088</v>
      </c>
      <c r="D40" s="83" t="s">
        <v>63</v>
      </c>
      <c r="E40" t="s">
        <v>541</v>
      </c>
      <c r="F40" t="s">
        <v>473</v>
      </c>
      <c r="G40">
        <v>8</v>
      </c>
      <c r="K40" s="11" t="s">
        <v>332</v>
      </c>
      <c r="L40" s="11" t="s">
        <v>328</v>
      </c>
      <c r="M40" t="str">
        <f t="shared" si="2"/>
        <v>JA</v>
      </c>
    </row>
    <row r="41" spans="2:13" ht="12.75">
      <c r="B41">
        <f t="shared" si="0"/>
        <v>38</v>
      </c>
      <c r="C41" t="s">
        <v>1115</v>
      </c>
      <c r="D41" s="83" t="s">
        <v>63</v>
      </c>
      <c r="E41" t="s">
        <v>541</v>
      </c>
      <c r="F41" t="s">
        <v>337</v>
      </c>
      <c r="G41">
        <v>9</v>
      </c>
      <c r="K41" s="11" t="s">
        <v>335</v>
      </c>
      <c r="L41" s="11" t="s">
        <v>335</v>
      </c>
      <c r="M41" t="str">
        <f t="shared" si="2"/>
        <v>JA</v>
      </c>
    </row>
    <row r="42" spans="2:17" ht="12.75">
      <c r="B42">
        <f t="shared" si="0"/>
        <v>39</v>
      </c>
      <c r="C42" t="s">
        <v>1121</v>
      </c>
      <c r="D42" s="83">
        <v>3</v>
      </c>
      <c r="E42" t="s">
        <v>473</v>
      </c>
      <c r="F42" t="s">
        <v>500</v>
      </c>
      <c r="G42">
        <v>5</v>
      </c>
      <c r="H42" t="s">
        <v>1848</v>
      </c>
      <c r="I42" s="11" t="s">
        <v>425</v>
      </c>
      <c r="J42" s="11" t="s">
        <v>442</v>
      </c>
      <c r="M42" t="str">
        <f t="shared" si="2"/>
        <v>NEIN</v>
      </c>
      <c r="N42" s="83">
        <v>1</v>
      </c>
      <c r="O42" s="83">
        <v>2</v>
      </c>
      <c r="P42" s="83">
        <v>4</v>
      </c>
      <c r="Q42" s="83">
        <v>6</v>
      </c>
    </row>
    <row r="43" spans="2:13" ht="12.75">
      <c r="B43">
        <f t="shared" si="0"/>
        <v>40</v>
      </c>
      <c r="C43" t="s">
        <v>1123</v>
      </c>
      <c r="D43" s="83">
        <v>5</v>
      </c>
      <c r="E43" t="s">
        <v>494</v>
      </c>
      <c r="F43" t="s">
        <v>473</v>
      </c>
      <c r="G43">
        <v>4</v>
      </c>
      <c r="I43" s="11" t="s">
        <v>332</v>
      </c>
      <c r="J43" s="11" t="s">
        <v>335</v>
      </c>
      <c r="M43" t="str">
        <f t="shared" si="2"/>
        <v>NEIN</v>
      </c>
    </row>
    <row r="44" spans="2:17" ht="12.75">
      <c r="B44">
        <f t="shared" si="0"/>
        <v>41</v>
      </c>
      <c r="C44" t="s">
        <v>1125</v>
      </c>
      <c r="D44" s="83">
        <v>10</v>
      </c>
      <c r="E44" t="s">
        <v>494</v>
      </c>
      <c r="F44" t="s">
        <v>500</v>
      </c>
      <c r="H44">
        <v>15</v>
      </c>
      <c r="K44" s="11" t="s">
        <v>328</v>
      </c>
      <c r="L44" s="11" t="s">
        <v>328</v>
      </c>
      <c r="M44" t="s">
        <v>277</v>
      </c>
      <c r="N44" s="83" t="s">
        <v>879</v>
      </c>
      <c r="O44" s="83" t="s">
        <v>37</v>
      </c>
      <c r="P44" s="83" t="s">
        <v>168</v>
      </c>
      <c r="Q44" s="83" t="s">
        <v>351</v>
      </c>
    </row>
    <row r="45" spans="2:17" ht="12.75">
      <c r="B45">
        <f t="shared" si="0"/>
        <v>42</v>
      </c>
      <c r="C45" t="s">
        <v>1142</v>
      </c>
      <c r="D45" s="83">
        <v>6</v>
      </c>
      <c r="E45" t="s">
        <v>541</v>
      </c>
      <c r="F45" t="s">
        <v>484</v>
      </c>
      <c r="G45">
        <v>7</v>
      </c>
      <c r="H45">
        <v>7</v>
      </c>
      <c r="I45" s="11" t="s">
        <v>428</v>
      </c>
      <c r="J45" s="11" t="s">
        <v>334</v>
      </c>
      <c r="K45" t="s">
        <v>429</v>
      </c>
      <c r="L45" t="s">
        <v>336</v>
      </c>
      <c r="M45" t="str">
        <f t="shared" si="2"/>
        <v>JA</v>
      </c>
      <c r="N45" s="83" t="s">
        <v>36</v>
      </c>
      <c r="O45" s="83" t="s">
        <v>36</v>
      </c>
      <c r="P45" s="83" t="s">
        <v>59</v>
      </c>
      <c r="Q45" s="83" t="s">
        <v>48</v>
      </c>
    </row>
    <row r="46" spans="2:13" ht="12.75">
      <c r="B46">
        <f t="shared" si="0"/>
        <v>43</v>
      </c>
      <c r="C46" t="s">
        <v>457</v>
      </c>
      <c r="D46" s="83" t="s">
        <v>168</v>
      </c>
      <c r="E46" t="s">
        <v>541</v>
      </c>
      <c r="F46" t="s">
        <v>337</v>
      </c>
      <c r="G46">
        <v>9</v>
      </c>
      <c r="K46" s="11" t="s">
        <v>328</v>
      </c>
      <c r="L46" s="11" t="s">
        <v>336</v>
      </c>
      <c r="M46" t="str">
        <f t="shared" si="2"/>
        <v>JA</v>
      </c>
    </row>
    <row r="47" spans="2:13" ht="12.75">
      <c r="B47">
        <f t="shared" si="0"/>
        <v>44</v>
      </c>
      <c r="C47" t="s">
        <v>1153</v>
      </c>
      <c r="D47" s="83" t="s">
        <v>168</v>
      </c>
      <c r="E47" t="s">
        <v>541</v>
      </c>
      <c r="F47" t="s">
        <v>337</v>
      </c>
      <c r="G47">
        <v>10</v>
      </c>
      <c r="K47" s="11" t="s">
        <v>429</v>
      </c>
      <c r="L47" s="11" t="s">
        <v>429</v>
      </c>
      <c r="M47" t="str">
        <f t="shared" si="2"/>
        <v>JA</v>
      </c>
    </row>
    <row r="48" spans="2:13" ht="12.75">
      <c r="B48">
        <f t="shared" si="0"/>
        <v>45</v>
      </c>
      <c r="C48" t="s">
        <v>1154</v>
      </c>
      <c r="D48" s="83" t="s">
        <v>65</v>
      </c>
      <c r="E48" t="s">
        <v>541</v>
      </c>
      <c r="F48" t="s">
        <v>473</v>
      </c>
      <c r="G48">
        <v>10</v>
      </c>
      <c r="K48" s="11" t="s">
        <v>429</v>
      </c>
      <c r="L48" s="11" t="s">
        <v>429</v>
      </c>
      <c r="M48" t="str">
        <f t="shared" si="2"/>
        <v>JA</v>
      </c>
    </row>
    <row r="49" spans="2:17" ht="12.75">
      <c r="B49">
        <f t="shared" si="0"/>
        <v>46</v>
      </c>
      <c r="C49" t="s">
        <v>427</v>
      </c>
      <c r="D49" s="83">
        <v>1</v>
      </c>
      <c r="E49" t="s">
        <v>473</v>
      </c>
      <c r="F49" t="s">
        <v>500</v>
      </c>
      <c r="G49">
        <v>2</v>
      </c>
      <c r="H49" t="s">
        <v>1848</v>
      </c>
      <c r="I49" s="11" t="s">
        <v>335</v>
      </c>
      <c r="J49" s="11" t="s">
        <v>425</v>
      </c>
      <c r="M49" t="str">
        <f t="shared" si="2"/>
        <v>NEIN</v>
      </c>
      <c r="N49" s="83" t="s">
        <v>842</v>
      </c>
      <c r="O49" s="83" t="s">
        <v>36</v>
      </c>
      <c r="P49" s="83" t="s">
        <v>59</v>
      </c>
      <c r="Q49" s="83" t="s">
        <v>48</v>
      </c>
    </row>
    <row r="50" spans="2:13" ht="12.75">
      <c r="B50">
        <f t="shared" si="0"/>
        <v>47</v>
      </c>
      <c r="C50" t="s">
        <v>208</v>
      </c>
      <c r="D50" s="83" t="s">
        <v>48</v>
      </c>
      <c r="E50" t="s">
        <v>494</v>
      </c>
      <c r="F50" t="s">
        <v>473</v>
      </c>
      <c r="G50">
        <v>4</v>
      </c>
      <c r="I50" s="11" t="s">
        <v>335</v>
      </c>
      <c r="J50" s="11" t="s">
        <v>332</v>
      </c>
      <c r="M50" t="str">
        <f t="shared" si="2"/>
        <v>NEIN</v>
      </c>
    </row>
    <row r="51" spans="2:13" ht="12.75">
      <c r="B51">
        <f t="shared" si="0"/>
        <v>48</v>
      </c>
      <c r="C51" t="s">
        <v>222</v>
      </c>
      <c r="D51" s="83" t="s">
        <v>924</v>
      </c>
      <c r="E51" t="s">
        <v>473</v>
      </c>
      <c r="F51" t="s">
        <v>500</v>
      </c>
      <c r="G51">
        <v>5</v>
      </c>
      <c r="I51" s="11" t="s">
        <v>425</v>
      </c>
      <c r="J51" s="11" t="s">
        <v>442</v>
      </c>
      <c r="M51" t="str">
        <f t="shared" si="2"/>
        <v>NEIN</v>
      </c>
    </row>
    <row r="52" spans="2:13" ht="12.75">
      <c r="B52">
        <f t="shared" si="0"/>
        <v>49</v>
      </c>
      <c r="C52" t="s">
        <v>440</v>
      </c>
      <c r="D52" s="83" t="s">
        <v>61</v>
      </c>
      <c r="E52" t="s">
        <v>494</v>
      </c>
      <c r="F52" t="s">
        <v>1433</v>
      </c>
      <c r="G52">
        <v>4</v>
      </c>
      <c r="H52">
        <v>4</v>
      </c>
      <c r="I52" s="11" t="s">
        <v>328</v>
      </c>
      <c r="J52" s="11" t="s">
        <v>330</v>
      </c>
      <c r="K52" t="s">
        <v>336</v>
      </c>
      <c r="L52" t="s">
        <v>336</v>
      </c>
      <c r="M52" t="str">
        <f t="shared" si="2"/>
        <v>JA</v>
      </c>
    </row>
    <row r="53" spans="2:17" ht="12.75">
      <c r="B53">
        <f t="shared" si="0"/>
        <v>50</v>
      </c>
      <c r="C53" t="s">
        <v>1334</v>
      </c>
      <c r="D53" s="83" t="s">
        <v>48</v>
      </c>
      <c r="E53" t="s">
        <v>541</v>
      </c>
      <c r="F53" t="s">
        <v>484</v>
      </c>
      <c r="G53">
        <v>5</v>
      </c>
      <c r="K53" s="11" t="s">
        <v>428</v>
      </c>
      <c r="L53" s="11" t="s">
        <v>335</v>
      </c>
      <c r="M53" t="str">
        <f t="shared" si="2"/>
        <v>JA</v>
      </c>
      <c r="N53" s="83" t="s">
        <v>1434</v>
      </c>
      <c r="O53" s="83" t="s">
        <v>920</v>
      </c>
      <c r="P53" s="83" t="s">
        <v>36</v>
      </c>
      <c r="Q53" s="83" t="s">
        <v>59</v>
      </c>
    </row>
    <row r="54" spans="2:17" ht="12.75">
      <c r="B54">
        <f t="shared" si="0"/>
        <v>51</v>
      </c>
      <c r="C54" t="s">
        <v>459</v>
      </c>
      <c r="D54" s="83">
        <v>3</v>
      </c>
      <c r="E54" t="s">
        <v>494</v>
      </c>
      <c r="F54" t="s">
        <v>484</v>
      </c>
      <c r="G54">
        <v>4</v>
      </c>
      <c r="H54">
        <v>4</v>
      </c>
      <c r="I54" s="11" t="s">
        <v>332</v>
      </c>
      <c r="J54" s="11" t="s">
        <v>331</v>
      </c>
      <c r="K54" s="11" t="s">
        <v>332</v>
      </c>
      <c r="L54" s="11" t="s">
        <v>331</v>
      </c>
      <c r="M54" s="83" t="s">
        <v>2496</v>
      </c>
      <c r="N54" s="83" t="s">
        <v>36</v>
      </c>
      <c r="O54" s="83" t="s">
        <v>36</v>
      </c>
      <c r="P54" s="83" t="s">
        <v>59</v>
      </c>
      <c r="Q54" s="83" t="s">
        <v>48</v>
      </c>
    </row>
    <row r="55" spans="2:17" ht="12.75">
      <c r="B55">
        <f t="shared" si="0"/>
        <v>52</v>
      </c>
      <c r="C55" t="s">
        <v>223</v>
      </c>
      <c r="D55" s="83" t="s">
        <v>60</v>
      </c>
      <c r="E55" t="s">
        <v>494</v>
      </c>
      <c r="F55" t="s">
        <v>500</v>
      </c>
      <c r="G55">
        <v>4</v>
      </c>
      <c r="H55">
        <v>4</v>
      </c>
      <c r="I55" s="11" t="s">
        <v>334</v>
      </c>
      <c r="J55" s="11" t="s">
        <v>428</v>
      </c>
      <c r="K55" s="11" t="s">
        <v>334</v>
      </c>
      <c r="L55" s="11" t="s">
        <v>428</v>
      </c>
      <c r="M55" s="83" t="s">
        <v>2496</v>
      </c>
      <c r="N55" s="83" t="s">
        <v>36</v>
      </c>
      <c r="O55" s="83" t="s">
        <v>36</v>
      </c>
      <c r="P55" s="83" t="s">
        <v>59</v>
      </c>
      <c r="Q55" s="83" t="s">
        <v>48</v>
      </c>
    </row>
    <row r="56" spans="2:17" ht="12.75">
      <c r="B56">
        <f t="shared" si="0"/>
        <v>53</v>
      </c>
      <c r="C56" t="s">
        <v>224</v>
      </c>
      <c r="D56" s="83" t="s">
        <v>59</v>
      </c>
      <c r="E56" t="s">
        <v>473</v>
      </c>
      <c r="F56" t="s">
        <v>484</v>
      </c>
      <c r="G56">
        <v>4</v>
      </c>
      <c r="H56">
        <v>4</v>
      </c>
      <c r="I56" s="11" t="s">
        <v>335</v>
      </c>
      <c r="J56" s="11" t="s">
        <v>442</v>
      </c>
      <c r="K56" s="11" t="s">
        <v>335</v>
      </c>
      <c r="L56" s="11" t="s">
        <v>442</v>
      </c>
      <c r="M56" s="83" t="s">
        <v>2496</v>
      </c>
      <c r="N56" s="83" t="s">
        <v>36</v>
      </c>
      <c r="O56" s="83" t="s">
        <v>36</v>
      </c>
      <c r="P56" s="83" t="s">
        <v>59</v>
      </c>
      <c r="Q56" s="83" t="s">
        <v>48</v>
      </c>
    </row>
    <row r="57" spans="2:13" ht="12.75">
      <c r="B57">
        <f t="shared" si="0"/>
        <v>54</v>
      </c>
      <c r="C57" t="s">
        <v>1339</v>
      </c>
      <c r="D57" s="83" t="s">
        <v>62</v>
      </c>
      <c r="E57" t="s">
        <v>494</v>
      </c>
      <c r="F57" t="s">
        <v>473</v>
      </c>
      <c r="G57">
        <v>9</v>
      </c>
      <c r="I57" s="11" t="s">
        <v>429</v>
      </c>
      <c r="J57" s="11" t="s">
        <v>332</v>
      </c>
      <c r="M57" t="str">
        <f aca="true" t="shared" si="3" ref="M57:M67">IF($K57=0,"NEIN","JA")</f>
        <v>NEIN</v>
      </c>
    </row>
    <row r="58" spans="2:13" ht="12.75">
      <c r="B58">
        <f t="shared" si="0"/>
        <v>55</v>
      </c>
      <c r="C58" t="s">
        <v>1424</v>
      </c>
      <c r="D58" s="83" t="s">
        <v>59</v>
      </c>
      <c r="E58" t="s">
        <v>473</v>
      </c>
      <c r="F58" t="s">
        <v>484</v>
      </c>
      <c r="G58">
        <v>4</v>
      </c>
      <c r="I58" s="11" t="s">
        <v>425</v>
      </c>
      <c r="J58" s="11" t="s">
        <v>425</v>
      </c>
      <c r="M58" t="str">
        <f t="shared" si="3"/>
        <v>NEIN</v>
      </c>
    </row>
    <row r="59" spans="2:13" ht="12.75">
      <c r="B59">
        <f t="shared" si="0"/>
        <v>56</v>
      </c>
      <c r="C59" t="s">
        <v>919</v>
      </c>
      <c r="D59" s="83" t="s">
        <v>62</v>
      </c>
      <c r="E59" t="s">
        <v>541</v>
      </c>
      <c r="F59" t="s">
        <v>500</v>
      </c>
      <c r="G59">
        <v>8</v>
      </c>
      <c r="K59" s="11" t="s">
        <v>429</v>
      </c>
      <c r="L59" s="11" t="s">
        <v>429</v>
      </c>
      <c r="M59" t="str">
        <f t="shared" si="3"/>
        <v>JA</v>
      </c>
    </row>
    <row r="60" spans="2:17" ht="12.75">
      <c r="B60">
        <f t="shared" si="0"/>
        <v>57</v>
      </c>
      <c r="C60" t="s">
        <v>896</v>
      </c>
      <c r="D60" s="83">
        <v>2</v>
      </c>
      <c r="E60" t="s">
        <v>494</v>
      </c>
      <c r="F60" t="s">
        <v>500</v>
      </c>
      <c r="H60">
        <v>6</v>
      </c>
      <c r="K60" s="11" t="s">
        <v>332</v>
      </c>
      <c r="L60" s="11" t="s">
        <v>332</v>
      </c>
      <c r="M60" t="s">
        <v>277</v>
      </c>
      <c r="N60" s="83" t="s">
        <v>842</v>
      </c>
      <c r="O60" s="83" t="s">
        <v>37</v>
      </c>
      <c r="P60" s="83" t="s">
        <v>38</v>
      </c>
      <c r="Q60" s="83" t="s">
        <v>138</v>
      </c>
    </row>
    <row r="61" spans="2:17" ht="12.75">
      <c r="B61">
        <f t="shared" si="0"/>
        <v>58</v>
      </c>
      <c r="C61" t="s">
        <v>900</v>
      </c>
      <c r="D61" s="83">
        <v>3</v>
      </c>
      <c r="E61" t="s">
        <v>494</v>
      </c>
      <c r="F61" t="s">
        <v>500</v>
      </c>
      <c r="H61">
        <v>7</v>
      </c>
      <c r="K61" s="11" t="s">
        <v>332</v>
      </c>
      <c r="L61" s="11" t="s">
        <v>332</v>
      </c>
      <c r="M61" t="s">
        <v>277</v>
      </c>
      <c r="N61" s="83" t="s">
        <v>842</v>
      </c>
      <c r="O61" s="83" t="s">
        <v>61</v>
      </c>
      <c r="P61" s="83" t="s">
        <v>65</v>
      </c>
      <c r="Q61" s="83" t="s">
        <v>351</v>
      </c>
    </row>
    <row r="62" spans="2:17" ht="12.75">
      <c r="B62">
        <f t="shared" si="0"/>
        <v>59</v>
      </c>
      <c r="C62" t="s">
        <v>901</v>
      </c>
      <c r="D62" s="83">
        <v>3</v>
      </c>
      <c r="E62" t="s">
        <v>494</v>
      </c>
      <c r="F62" t="s">
        <v>500</v>
      </c>
      <c r="H62">
        <v>7</v>
      </c>
      <c r="K62" s="11" t="s">
        <v>331</v>
      </c>
      <c r="L62" s="11" t="s">
        <v>331</v>
      </c>
      <c r="M62" t="s">
        <v>277</v>
      </c>
      <c r="N62" s="83" t="s">
        <v>842</v>
      </c>
      <c r="O62" s="83" t="s">
        <v>60</v>
      </c>
      <c r="P62" s="83" t="s">
        <v>63</v>
      </c>
      <c r="Q62" s="83" t="s">
        <v>352</v>
      </c>
    </row>
    <row r="63" spans="2:13" ht="12.75">
      <c r="B63">
        <f t="shared" si="0"/>
        <v>60</v>
      </c>
      <c r="C63" t="s">
        <v>1395</v>
      </c>
      <c r="D63" s="83" t="s">
        <v>62</v>
      </c>
      <c r="E63" t="s">
        <v>541</v>
      </c>
      <c r="F63" t="s">
        <v>500</v>
      </c>
      <c r="G63">
        <v>8</v>
      </c>
      <c r="I63" s="11" t="s">
        <v>334</v>
      </c>
      <c r="J63" s="11" t="s">
        <v>336</v>
      </c>
      <c r="M63" t="str">
        <f t="shared" si="3"/>
        <v>NEIN</v>
      </c>
    </row>
    <row r="64" spans="2:13" ht="12.75">
      <c r="B64">
        <f t="shared" si="0"/>
        <v>61</v>
      </c>
      <c r="C64" t="s">
        <v>456</v>
      </c>
      <c r="D64" s="83" t="s">
        <v>62</v>
      </c>
      <c r="E64" t="s">
        <v>541</v>
      </c>
      <c r="F64" t="s">
        <v>500</v>
      </c>
      <c r="G64">
        <v>7</v>
      </c>
      <c r="K64" s="11" t="s">
        <v>331</v>
      </c>
      <c r="L64" s="11" t="s">
        <v>429</v>
      </c>
      <c r="M64" t="str">
        <f t="shared" si="3"/>
        <v>JA</v>
      </c>
    </row>
    <row r="65" spans="2:13" ht="12.75">
      <c r="B65">
        <f t="shared" si="0"/>
        <v>62</v>
      </c>
      <c r="C65" t="s">
        <v>1521</v>
      </c>
      <c r="D65" s="83">
        <v>6</v>
      </c>
      <c r="E65" t="s">
        <v>494</v>
      </c>
      <c r="F65" t="s">
        <v>484</v>
      </c>
      <c r="G65">
        <v>4</v>
      </c>
      <c r="H65">
        <v>4</v>
      </c>
      <c r="I65" s="11" t="s">
        <v>428</v>
      </c>
      <c r="J65" s="11" t="s">
        <v>335</v>
      </c>
      <c r="K65" s="11" t="s">
        <v>428</v>
      </c>
      <c r="L65" s="11" t="s">
        <v>335</v>
      </c>
      <c r="M65" s="83" t="s">
        <v>2496</v>
      </c>
    </row>
    <row r="66" spans="2:13" ht="12.75">
      <c r="B66">
        <f t="shared" si="0"/>
        <v>63</v>
      </c>
      <c r="C66" t="s">
        <v>455</v>
      </c>
      <c r="D66" s="83" t="s">
        <v>62</v>
      </c>
      <c r="E66" t="s">
        <v>541</v>
      </c>
      <c r="F66" t="s">
        <v>337</v>
      </c>
      <c r="G66">
        <v>8</v>
      </c>
      <c r="K66" s="11" t="s">
        <v>332</v>
      </c>
      <c r="L66" s="11" t="s">
        <v>331</v>
      </c>
      <c r="M66" t="str">
        <f aca="true" t="shared" si="4" ref="M66:M112">IF($K66=0,"NEIN","JA")</f>
        <v>JA</v>
      </c>
    </row>
    <row r="67" spans="2:13" ht="12.75">
      <c r="B67">
        <f t="shared" si="0"/>
        <v>64</v>
      </c>
      <c r="C67" t="s">
        <v>430</v>
      </c>
      <c r="D67" s="83" t="s">
        <v>60</v>
      </c>
      <c r="E67" t="s">
        <v>494</v>
      </c>
      <c r="F67" t="s">
        <v>473</v>
      </c>
      <c r="G67">
        <v>5</v>
      </c>
      <c r="I67" s="11" t="s">
        <v>331</v>
      </c>
      <c r="J67" s="11" t="s">
        <v>331</v>
      </c>
      <c r="M67" t="str">
        <f t="shared" si="3"/>
        <v>NEIN</v>
      </c>
    </row>
    <row r="68" spans="2:17" ht="12.75">
      <c r="B68">
        <f t="shared" si="0"/>
        <v>65</v>
      </c>
      <c r="C68" t="s">
        <v>897</v>
      </c>
      <c r="D68" s="83">
        <v>2</v>
      </c>
      <c r="E68" t="s">
        <v>494</v>
      </c>
      <c r="F68" t="s">
        <v>500</v>
      </c>
      <c r="H68">
        <v>7</v>
      </c>
      <c r="K68" s="11" t="s">
        <v>332</v>
      </c>
      <c r="L68" s="11" t="s">
        <v>332</v>
      </c>
      <c r="M68" t="s">
        <v>277</v>
      </c>
      <c r="N68" s="83" t="s">
        <v>842</v>
      </c>
      <c r="O68" s="83" t="s">
        <v>37</v>
      </c>
      <c r="P68" s="83" t="s">
        <v>38</v>
      </c>
      <c r="Q68" s="83" t="s">
        <v>168</v>
      </c>
    </row>
    <row r="69" spans="2:13" ht="12.75">
      <c r="B69">
        <f aca="true" t="shared" si="5" ref="B69:B132">B68+1</f>
        <v>66</v>
      </c>
      <c r="C69" t="s">
        <v>436</v>
      </c>
      <c r="D69" s="83" t="s">
        <v>48</v>
      </c>
      <c r="E69" t="s">
        <v>473</v>
      </c>
      <c r="F69" t="s">
        <v>500</v>
      </c>
      <c r="G69">
        <v>3</v>
      </c>
      <c r="I69" s="11" t="s">
        <v>332</v>
      </c>
      <c r="J69" s="11" t="s">
        <v>331</v>
      </c>
      <c r="M69" t="str">
        <f t="shared" si="4"/>
        <v>NEIN</v>
      </c>
    </row>
    <row r="70" spans="2:17" ht="12.75">
      <c r="B70">
        <f t="shared" si="5"/>
        <v>67</v>
      </c>
      <c r="C70" t="s">
        <v>898</v>
      </c>
      <c r="D70" s="83">
        <v>3</v>
      </c>
      <c r="E70" t="s">
        <v>541</v>
      </c>
      <c r="F70" t="s">
        <v>500</v>
      </c>
      <c r="H70">
        <v>8</v>
      </c>
      <c r="K70" s="11" t="s">
        <v>332</v>
      </c>
      <c r="L70" s="11" t="s">
        <v>332</v>
      </c>
      <c r="M70" t="s">
        <v>277</v>
      </c>
      <c r="N70" s="83" t="s">
        <v>842</v>
      </c>
      <c r="O70" s="83" t="s">
        <v>62</v>
      </c>
      <c r="P70" s="83" t="s">
        <v>72</v>
      </c>
      <c r="Q70" s="83" t="s">
        <v>351</v>
      </c>
    </row>
    <row r="71" spans="2:17" ht="12.75">
      <c r="B71">
        <f t="shared" si="5"/>
        <v>68</v>
      </c>
      <c r="C71" t="s">
        <v>899</v>
      </c>
      <c r="D71" s="83">
        <v>3</v>
      </c>
      <c r="E71" t="s">
        <v>541</v>
      </c>
      <c r="F71" t="s">
        <v>500</v>
      </c>
      <c r="H71">
        <v>8</v>
      </c>
      <c r="K71" s="11" t="s">
        <v>331</v>
      </c>
      <c r="L71" s="11" t="s">
        <v>331</v>
      </c>
      <c r="M71" t="s">
        <v>277</v>
      </c>
      <c r="N71" s="83" t="s">
        <v>842</v>
      </c>
      <c r="O71" s="83" t="s">
        <v>37</v>
      </c>
      <c r="P71" s="83" t="s">
        <v>38</v>
      </c>
      <c r="Q71" s="83" t="s">
        <v>352</v>
      </c>
    </row>
    <row r="72" spans="2:13" ht="12.75">
      <c r="B72">
        <f t="shared" si="5"/>
        <v>69</v>
      </c>
      <c r="C72" t="s">
        <v>1548</v>
      </c>
      <c r="D72" s="83" t="s">
        <v>60</v>
      </c>
      <c r="E72" t="s">
        <v>494</v>
      </c>
      <c r="F72" t="s">
        <v>473</v>
      </c>
      <c r="G72">
        <v>5</v>
      </c>
      <c r="H72">
        <v>5</v>
      </c>
      <c r="I72" s="11" t="s">
        <v>331</v>
      </c>
      <c r="J72" s="11" t="s">
        <v>330</v>
      </c>
      <c r="K72" s="11" t="s">
        <v>331</v>
      </c>
      <c r="L72" s="11" t="s">
        <v>330</v>
      </c>
      <c r="M72" s="83" t="s">
        <v>2496</v>
      </c>
    </row>
    <row r="73" spans="2:13" ht="12.75">
      <c r="B73">
        <f t="shared" si="5"/>
        <v>70</v>
      </c>
      <c r="C73" t="s">
        <v>906</v>
      </c>
      <c r="D73" s="83">
        <v>5</v>
      </c>
      <c r="E73" t="s">
        <v>541</v>
      </c>
      <c r="F73" t="s">
        <v>500</v>
      </c>
      <c r="G73">
        <v>6</v>
      </c>
      <c r="I73" s="11" t="s">
        <v>332</v>
      </c>
      <c r="J73" s="11" t="s">
        <v>331</v>
      </c>
      <c r="M73" t="str">
        <f t="shared" si="4"/>
        <v>NEIN</v>
      </c>
    </row>
    <row r="74" spans="2:13" ht="12.75">
      <c r="B74">
        <f t="shared" si="5"/>
        <v>71</v>
      </c>
      <c r="C74" t="s">
        <v>907</v>
      </c>
      <c r="D74" s="83">
        <v>10</v>
      </c>
      <c r="E74" t="s">
        <v>541</v>
      </c>
      <c r="F74" t="s">
        <v>500</v>
      </c>
      <c r="G74">
        <v>7</v>
      </c>
      <c r="I74" s="11" t="s">
        <v>334</v>
      </c>
      <c r="J74" s="11" t="s">
        <v>336</v>
      </c>
      <c r="M74" t="str">
        <f t="shared" si="4"/>
        <v>NEIN</v>
      </c>
    </row>
    <row r="75" spans="2:13" ht="12.75">
      <c r="B75">
        <f t="shared" si="5"/>
        <v>72</v>
      </c>
      <c r="C75" t="s">
        <v>908</v>
      </c>
      <c r="D75" s="83">
        <v>15</v>
      </c>
      <c r="E75" t="s">
        <v>541</v>
      </c>
      <c r="F75" t="s">
        <v>500</v>
      </c>
      <c r="G75">
        <v>8</v>
      </c>
      <c r="I75" s="11" t="s">
        <v>432</v>
      </c>
      <c r="J75" s="11" t="s">
        <v>439</v>
      </c>
      <c r="M75" t="str">
        <f t="shared" si="4"/>
        <v>NEIN</v>
      </c>
    </row>
    <row r="76" spans="2:17" ht="12.75">
      <c r="B76">
        <f t="shared" si="5"/>
        <v>73</v>
      </c>
      <c r="C76" t="s">
        <v>1555</v>
      </c>
      <c r="D76" s="83" t="s">
        <v>48</v>
      </c>
      <c r="E76" t="s">
        <v>541</v>
      </c>
      <c r="F76" s="114" t="s">
        <v>924</v>
      </c>
      <c r="H76">
        <v>10</v>
      </c>
      <c r="K76" s="113" t="s">
        <v>924</v>
      </c>
      <c r="L76" s="113" t="s">
        <v>924</v>
      </c>
      <c r="M76" t="s">
        <v>277</v>
      </c>
      <c r="N76" s="83" t="s">
        <v>1434</v>
      </c>
      <c r="O76" s="83" t="s">
        <v>36</v>
      </c>
      <c r="P76" s="83" t="s">
        <v>59</v>
      </c>
      <c r="Q76" s="83" t="s">
        <v>48</v>
      </c>
    </row>
    <row r="77" spans="2:13" ht="12.75">
      <c r="B77">
        <f t="shared" si="5"/>
        <v>74</v>
      </c>
      <c r="C77" t="s">
        <v>1581</v>
      </c>
      <c r="D77" s="83" t="s">
        <v>168</v>
      </c>
      <c r="E77" t="s">
        <v>541</v>
      </c>
      <c r="F77" t="s">
        <v>346</v>
      </c>
      <c r="G77">
        <v>9</v>
      </c>
      <c r="K77" s="11" t="s">
        <v>429</v>
      </c>
      <c r="L77" s="11" t="s">
        <v>332</v>
      </c>
      <c r="M77" t="str">
        <f t="shared" si="4"/>
        <v>JA</v>
      </c>
    </row>
    <row r="78" spans="2:13" ht="12.75">
      <c r="B78">
        <f t="shared" si="5"/>
        <v>75</v>
      </c>
      <c r="C78" t="s">
        <v>452</v>
      </c>
      <c r="D78" s="83" t="s">
        <v>60</v>
      </c>
      <c r="E78" t="s">
        <v>494</v>
      </c>
      <c r="F78" t="s">
        <v>473</v>
      </c>
      <c r="G78">
        <v>8</v>
      </c>
      <c r="I78" s="11" t="s">
        <v>331</v>
      </c>
      <c r="J78" s="11" t="s">
        <v>331</v>
      </c>
      <c r="M78" t="str">
        <f t="shared" si="4"/>
        <v>NEIN</v>
      </c>
    </row>
    <row r="79" spans="2:13" ht="12.75">
      <c r="B79">
        <f t="shared" si="5"/>
        <v>76</v>
      </c>
      <c r="C79" t="s">
        <v>1425</v>
      </c>
      <c r="D79" s="83" t="s">
        <v>59</v>
      </c>
      <c r="E79" t="s">
        <v>473</v>
      </c>
      <c r="F79" t="s">
        <v>337</v>
      </c>
      <c r="G79">
        <v>2</v>
      </c>
      <c r="I79" s="11" t="s">
        <v>335</v>
      </c>
      <c r="J79" s="11" t="s">
        <v>425</v>
      </c>
      <c r="M79" t="str">
        <f t="shared" si="4"/>
        <v>NEIN</v>
      </c>
    </row>
    <row r="80" spans="2:17" ht="12.75">
      <c r="B80">
        <f t="shared" si="5"/>
        <v>77</v>
      </c>
      <c r="C80" t="s">
        <v>424</v>
      </c>
      <c r="D80" s="83">
        <v>0.5</v>
      </c>
      <c r="E80" t="s">
        <v>473</v>
      </c>
      <c r="F80" t="s">
        <v>337</v>
      </c>
      <c r="G80">
        <v>2</v>
      </c>
      <c r="I80" s="11" t="s">
        <v>425</v>
      </c>
      <c r="J80" s="11" t="s">
        <v>442</v>
      </c>
      <c r="M80" t="str">
        <f t="shared" si="4"/>
        <v>NEIN</v>
      </c>
      <c r="N80" s="83" t="s">
        <v>842</v>
      </c>
      <c r="O80" s="83" t="s">
        <v>36</v>
      </c>
      <c r="P80" s="83" t="s">
        <v>59</v>
      </c>
      <c r="Q80" s="83" t="s">
        <v>48</v>
      </c>
    </row>
    <row r="81" spans="2:17" ht="12.75">
      <c r="B81">
        <f t="shared" si="5"/>
        <v>78</v>
      </c>
      <c r="C81" t="s">
        <v>1426</v>
      </c>
      <c r="D81" s="83" t="s">
        <v>920</v>
      </c>
      <c r="E81" t="s">
        <v>473</v>
      </c>
      <c r="F81" t="s">
        <v>337</v>
      </c>
      <c r="G81">
        <v>2</v>
      </c>
      <c r="I81" s="11" t="s">
        <v>442</v>
      </c>
      <c r="J81" s="11" t="s">
        <v>442</v>
      </c>
      <c r="M81" t="str">
        <f t="shared" si="4"/>
        <v>NEIN</v>
      </c>
      <c r="N81" s="83" t="s">
        <v>842</v>
      </c>
      <c r="O81" s="83" t="s">
        <v>36</v>
      </c>
      <c r="P81" s="83" t="s">
        <v>59</v>
      </c>
      <c r="Q81" s="83" t="s">
        <v>48</v>
      </c>
    </row>
    <row r="82" spans="2:17" ht="12.75">
      <c r="B82">
        <f t="shared" si="5"/>
        <v>79</v>
      </c>
      <c r="C82" t="s">
        <v>1427</v>
      </c>
      <c r="D82" s="83" t="s">
        <v>920</v>
      </c>
      <c r="E82" t="s">
        <v>473</v>
      </c>
      <c r="F82" t="s">
        <v>337</v>
      </c>
      <c r="G82">
        <v>2</v>
      </c>
      <c r="I82" s="11" t="s">
        <v>442</v>
      </c>
      <c r="J82" s="11" t="s">
        <v>442</v>
      </c>
      <c r="M82" t="str">
        <f t="shared" si="4"/>
        <v>NEIN</v>
      </c>
      <c r="N82" s="83" t="s">
        <v>842</v>
      </c>
      <c r="O82" s="83" t="s">
        <v>36</v>
      </c>
      <c r="P82" s="83" t="s">
        <v>59</v>
      </c>
      <c r="Q82" s="83" t="s">
        <v>48</v>
      </c>
    </row>
    <row r="83" spans="2:13" ht="12.75">
      <c r="B83">
        <f t="shared" si="5"/>
        <v>80</v>
      </c>
      <c r="C83" t="s">
        <v>454</v>
      </c>
      <c r="D83" s="83" t="s">
        <v>65</v>
      </c>
      <c r="E83" t="s">
        <v>494</v>
      </c>
      <c r="F83" t="s">
        <v>484</v>
      </c>
      <c r="G83">
        <v>7</v>
      </c>
      <c r="H83">
        <v>7</v>
      </c>
      <c r="I83" s="11" t="s">
        <v>429</v>
      </c>
      <c r="J83" s="11" t="s">
        <v>334</v>
      </c>
      <c r="K83" s="11" t="s">
        <v>429</v>
      </c>
      <c r="L83" s="11" t="s">
        <v>334</v>
      </c>
      <c r="M83" s="83" t="s">
        <v>2496</v>
      </c>
    </row>
    <row r="84" spans="2:13" ht="12.75">
      <c r="B84">
        <f t="shared" si="5"/>
        <v>81</v>
      </c>
      <c r="C84" t="s">
        <v>1649</v>
      </c>
      <c r="D84" s="83" t="s">
        <v>38</v>
      </c>
      <c r="E84" t="s">
        <v>541</v>
      </c>
      <c r="F84" t="s">
        <v>500</v>
      </c>
      <c r="G84">
        <v>7</v>
      </c>
      <c r="K84" s="11" t="s">
        <v>331</v>
      </c>
      <c r="L84" s="11" t="s">
        <v>328</v>
      </c>
      <c r="M84" t="str">
        <f t="shared" si="4"/>
        <v>JA</v>
      </c>
    </row>
    <row r="85" spans="2:17" ht="12.75">
      <c r="B85">
        <f t="shared" si="5"/>
        <v>82</v>
      </c>
      <c r="C85" t="s">
        <v>1654</v>
      </c>
      <c r="D85" s="83" t="s">
        <v>38</v>
      </c>
      <c r="E85" t="s">
        <v>494</v>
      </c>
      <c r="F85" s="114" t="s">
        <v>924</v>
      </c>
      <c r="H85">
        <v>10</v>
      </c>
      <c r="K85" s="113" t="s">
        <v>924</v>
      </c>
      <c r="L85" s="113" t="s">
        <v>924</v>
      </c>
      <c r="M85" t="s">
        <v>277</v>
      </c>
      <c r="N85" s="83" t="s">
        <v>1434</v>
      </c>
      <c r="O85" s="83" t="s">
        <v>36</v>
      </c>
      <c r="P85" s="83" t="s">
        <v>59</v>
      </c>
      <c r="Q85" s="83" t="s">
        <v>48</v>
      </c>
    </row>
    <row r="86" spans="2:13" ht="12.75">
      <c r="B86">
        <f t="shared" si="5"/>
        <v>83</v>
      </c>
      <c r="C86" t="s">
        <v>1428</v>
      </c>
      <c r="D86" s="83" t="s">
        <v>48</v>
      </c>
      <c r="E86" t="s">
        <v>494</v>
      </c>
      <c r="F86" t="s">
        <v>484</v>
      </c>
      <c r="G86">
        <v>3</v>
      </c>
      <c r="I86" s="11" t="s">
        <v>332</v>
      </c>
      <c r="J86" s="11" t="s">
        <v>332</v>
      </c>
      <c r="M86" t="str">
        <f t="shared" si="4"/>
        <v>NEIN</v>
      </c>
    </row>
    <row r="87" spans="2:13" ht="12.75">
      <c r="B87">
        <f t="shared" si="5"/>
        <v>84</v>
      </c>
      <c r="C87" t="s">
        <v>1688</v>
      </c>
      <c r="D87" s="83" t="s">
        <v>63</v>
      </c>
      <c r="E87" t="s">
        <v>541</v>
      </c>
      <c r="F87" t="s">
        <v>500</v>
      </c>
      <c r="G87">
        <v>9</v>
      </c>
      <c r="K87" s="11" t="s">
        <v>332</v>
      </c>
      <c r="L87" s="11" t="s">
        <v>334</v>
      </c>
      <c r="M87" t="str">
        <f t="shared" si="4"/>
        <v>JA</v>
      </c>
    </row>
    <row r="88" spans="2:13" ht="12.75">
      <c r="B88">
        <f t="shared" si="5"/>
        <v>85</v>
      </c>
      <c r="C88" t="s">
        <v>441</v>
      </c>
      <c r="D88" s="83" t="s">
        <v>59</v>
      </c>
      <c r="E88" t="s">
        <v>494</v>
      </c>
      <c r="F88" t="s">
        <v>1848</v>
      </c>
      <c r="G88">
        <v>8</v>
      </c>
      <c r="I88" s="11" t="s">
        <v>442</v>
      </c>
      <c r="J88" s="11">
        <v>1</v>
      </c>
      <c r="M88" t="str">
        <f t="shared" si="4"/>
        <v>NEIN</v>
      </c>
    </row>
    <row r="89" spans="2:13" ht="12.75">
      <c r="B89">
        <f t="shared" si="5"/>
        <v>86</v>
      </c>
      <c r="C89" t="s">
        <v>1861</v>
      </c>
      <c r="D89" s="83" t="s">
        <v>38</v>
      </c>
      <c r="E89" t="s">
        <v>541</v>
      </c>
      <c r="F89" t="s">
        <v>346</v>
      </c>
      <c r="G89">
        <v>9</v>
      </c>
      <c r="K89" s="11" t="s">
        <v>331</v>
      </c>
      <c r="L89" s="11" t="s">
        <v>332</v>
      </c>
      <c r="M89" t="str">
        <f t="shared" si="4"/>
        <v>JA</v>
      </c>
    </row>
    <row r="90" spans="2:13" ht="12.75">
      <c r="B90">
        <f t="shared" si="5"/>
        <v>87</v>
      </c>
      <c r="C90" t="s">
        <v>435</v>
      </c>
      <c r="D90" s="83" t="s">
        <v>60</v>
      </c>
      <c r="E90" t="s">
        <v>494</v>
      </c>
      <c r="F90" t="s">
        <v>500</v>
      </c>
      <c r="G90">
        <v>4</v>
      </c>
      <c r="H90">
        <v>4</v>
      </c>
      <c r="I90" s="11" t="s">
        <v>334</v>
      </c>
      <c r="J90" s="11" t="s">
        <v>432</v>
      </c>
      <c r="K90" t="s">
        <v>336</v>
      </c>
      <c r="L90" t="s">
        <v>336</v>
      </c>
      <c r="M90" t="str">
        <f t="shared" si="4"/>
        <v>JA</v>
      </c>
    </row>
    <row r="91" spans="2:13" ht="12.75">
      <c r="B91">
        <f t="shared" si="5"/>
        <v>88</v>
      </c>
      <c r="C91" t="s">
        <v>209</v>
      </c>
      <c r="D91" s="83" t="s">
        <v>61</v>
      </c>
      <c r="E91" t="s">
        <v>541</v>
      </c>
      <c r="F91" t="s">
        <v>500</v>
      </c>
      <c r="G91">
        <v>8</v>
      </c>
      <c r="K91" s="11" t="s">
        <v>334</v>
      </c>
      <c r="L91" s="11" t="s">
        <v>432</v>
      </c>
      <c r="M91" t="str">
        <f t="shared" si="4"/>
        <v>JA</v>
      </c>
    </row>
    <row r="92" spans="2:13" ht="12.75">
      <c r="B92">
        <f t="shared" si="5"/>
        <v>89</v>
      </c>
      <c r="C92" t="s">
        <v>341</v>
      </c>
      <c r="D92" s="83" t="s">
        <v>168</v>
      </c>
      <c r="E92" t="s">
        <v>541</v>
      </c>
      <c r="F92" t="s">
        <v>337</v>
      </c>
      <c r="G92">
        <v>10</v>
      </c>
      <c r="K92" s="11" t="s">
        <v>429</v>
      </c>
      <c r="L92" s="11" t="s">
        <v>328</v>
      </c>
      <c r="M92" t="str">
        <f t="shared" si="4"/>
        <v>JA</v>
      </c>
    </row>
    <row r="93" spans="2:13" ht="12.75">
      <c r="B93">
        <f t="shared" si="5"/>
        <v>90</v>
      </c>
      <c r="C93" t="s">
        <v>431</v>
      </c>
      <c r="D93" s="83" t="s">
        <v>60</v>
      </c>
      <c r="E93" t="s">
        <v>494</v>
      </c>
      <c r="F93" t="s">
        <v>473</v>
      </c>
      <c r="G93">
        <v>5</v>
      </c>
      <c r="I93" s="11" t="s">
        <v>332</v>
      </c>
      <c r="J93" s="11" t="s">
        <v>331</v>
      </c>
      <c r="M93" t="str">
        <f t="shared" si="4"/>
        <v>NEIN</v>
      </c>
    </row>
    <row r="94" spans="2:13" ht="12.75">
      <c r="B94">
        <f t="shared" si="5"/>
        <v>91</v>
      </c>
      <c r="C94" t="s">
        <v>453</v>
      </c>
      <c r="D94" s="83" t="s">
        <v>59</v>
      </c>
      <c r="E94" t="s">
        <v>473</v>
      </c>
      <c r="F94" t="s">
        <v>500</v>
      </c>
      <c r="G94">
        <v>2</v>
      </c>
      <c r="I94" s="11" t="s">
        <v>335</v>
      </c>
      <c r="J94" s="11" t="s">
        <v>442</v>
      </c>
      <c r="M94" t="str">
        <f t="shared" si="4"/>
        <v>NEIN</v>
      </c>
    </row>
    <row r="95" spans="2:13" ht="12.75">
      <c r="B95">
        <f t="shared" si="5"/>
        <v>92</v>
      </c>
      <c r="C95" t="s">
        <v>458</v>
      </c>
      <c r="D95" s="83" t="s">
        <v>38</v>
      </c>
      <c r="E95" t="s">
        <v>541</v>
      </c>
      <c r="F95" t="s">
        <v>484</v>
      </c>
      <c r="G95">
        <v>9</v>
      </c>
      <c r="K95" s="11" t="s">
        <v>429</v>
      </c>
      <c r="L95" s="11" t="s">
        <v>328</v>
      </c>
      <c r="M95" t="str">
        <f t="shared" si="4"/>
        <v>JA</v>
      </c>
    </row>
    <row r="96" spans="2:17" ht="12.75">
      <c r="B96">
        <f t="shared" si="5"/>
        <v>93</v>
      </c>
      <c r="C96" t="s">
        <v>911</v>
      </c>
      <c r="D96" s="83" t="s">
        <v>920</v>
      </c>
      <c r="E96" t="s">
        <v>473</v>
      </c>
      <c r="F96" t="s">
        <v>484</v>
      </c>
      <c r="G96">
        <v>6</v>
      </c>
      <c r="I96" s="11" t="s">
        <v>428</v>
      </c>
      <c r="J96" s="11" t="s">
        <v>334</v>
      </c>
      <c r="M96" t="s">
        <v>1940</v>
      </c>
      <c r="N96" s="83" t="s">
        <v>36</v>
      </c>
      <c r="O96" s="83" t="s">
        <v>37</v>
      </c>
      <c r="P96" s="83" t="s">
        <v>38</v>
      </c>
      <c r="Q96" s="83" t="s">
        <v>39</v>
      </c>
    </row>
    <row r="97" spans="2:17" ht="12.75">
      <c r="B97">
        <f t="shared" si="5"/>
        <v>94</v>
      </c>
      <c r="C97" t="s">
        <v>910</v>
      </c>
      <c r="D97" s="83" t="s">
        <v>920</v>
      </c>
      <c r="E97" t="s">
        <v>473</v>
      </c>
      <c r="F97" t="s">
        <v>484</v>
      </c>
      <c r="G97">
        <v>6</v>
      </c>
      <c r="I97" s="11" t="s">
        <v>335</v>
      </c>
      <c r="J97" s="11" t="s">
        <v>335</v>
      </c>
      <c r="M97" t="s">
        <v>1940</v>
      </c>
      <c r="N97" s="83" t="s">
        <v>36</v>
      </c>
      <c r="O97" s="83" t="s">
        <v>60</v>
      </c>
      <c r="P97" s="83" t="s">
        <v>63</v>
      </c>
      <c r="Q97" s="83" t="s">
        <v>349</v>
      </c>
    </row>
    <row r="98" spans="2:17" ht="12.75">
      <c r="B98">
        <f t="shared" si="5"/>
        <v>95</v>
      </c>
      <c r="C98" t="s">
        <v>225</v>
      </c>
      <c r="D98" s="83" t="s">
        <v>36</v>
      </c>
      <c r="E98" t="s">
        <v>473</v>
      </c>
      <c r="F98" t="s">
        <v>484</v>
      </c>
      <c r="G98">
        <v>11</v>
      </c>
      <c r="I98" s="113" t="s">
        <v>924</v>
      </c>
      <c r="J98" s="113" t="s">
        <v>924</v>
      </c>
      <c r="M98" t="s">
        <v>1940</v>
      </c>
      <c r="N98" s="83" t="s">
        <v>842</v>
      </c>
      <c r="O98" s="83" t="s">
        <v>924</v>
      </c>
      <c r="P98" s="83" t="s">
        <v>924</v>
      </c>
      <c r="Q98" s="83" t="s">
        <v>924</v>
      </c>
    </row>
    <row r="99" spans="2:13" ht="12.75">
      <c r="B99">
        <f t="shared" si="5"/>
        <v>96</v>
      </c>
      <c r="C99" t="s">
        <v>2118</v>
      </c>
      <c r="D99" s="83" t="s">
        <v>38</v>
      </c>
      <c r="E99" t="s">
        <v>541</v>
      </c>
      <c r="F99" t="s">
        <v>337</v>
      </c>
      <c r="G99">
        <v>9</v>
      </c>
      <c r="K99" s="11" t="s">
        <v>429</v>
      </c>
      <c r="L99" s="11" t="s">
        <v>336</v>
      </c>
      <c r="M99" t="str">
        <f t="shared" si="4"/>
        <v>JA</v>
      </c>
    </row>
    <row r="100" spans="2:13" ht="12.75">
      <c r="B100">
        <f t="shared" si="5"/>
        <v>97</v>
      </c>
      <c r="C100" t="s">
        <v>2135</v>
      </c>
      <c r="D100" s="83" t="s">
        <v>63</v>
      </c>
      <c r="E100" t="s">
        <v>494</v>
      </c>
      <c r="F100" t="s">
        <v>337</v>
      </c>
      <c r="G100">
        <v>8</v>
      </c>
      <c r="I100" s="11" t="s">
        <v>334</v>
      </c>
      <c r="J100" s="11" t="s">
        <v>331</v>
      </c>
      <c r="M100" t="str">
        <f t="shared" si="4"/>
        <v>NEIN</v>
      </c>
    </row>
    <row r="101" spans="2:17" ht="12.75">
      <c r="B101">
        <f t="shared" si="5"/>
        <v>98</v>
      </c>
      <c r="C101" t="s">
        <v>444</v>
      </c>
      <c r="D101" s="83" t="s">
        <v>36</v>
      </c>
      <c r="E101" t="s">
        <v>473</v>
      </c>
      <c r="F101" t="s">
        <v>500</v>
      </c>
      <c r="G101">
        <v>2</v>
      </c>
      <c r="I101" s="11" t="s">
        <v>335</v>
      </c>
      <c r="J101" s="11" t="s">
        <v>335</v>
      </c>
      <c r="M101" t="s">
        <v>1940</v>
      </c>
      <c r="N101" s="83" t="s">
        <v>842</v>
      </c>
      <c r="O101" s="83" t="s">
        <v>36</v>
      </c>
      <c r="P101" s="83" t="s">
        <v>59</v>
      </c>
      <c r="Q101" s="83" t="s">
        <v>48</v>
      </c>
    </row>
    <row r="102" spans="2:13" ht="12.75">
      <c r="B102">
        <f t="shared" si="5"/>
        <v>99</v>
      </c>
      <c r="C102" t="s">
        <v>433</v>
      </c>
      <c r="D102" s="83" t="s">
        <v>48</v>
      </c>
      <c r="E102" t="s">
        <v>473</v>
      </c>
      <c r="F102" t="s">
        <v>473</v>
      </c>
      <c r="G102">
        <v>4</v>
      </c>
      <c r="I102" s="11" t="s">
        <v>428</v>
      </c>
      <c r="J102" s="11" t="s">
        <v>335</v>
      </c>
      <c r="M102" t="str">
        <f t="shared" si="4"/>
        <v>NEIN</v>
      </c>
    </row>
    <row r="103" spans="2:17" ht="12.75">
      <c r="B103">
        <f t="shared" si="5"/>
        <v>100</v>
      </c>
      <c r="C103" t="s">
        <v>2153</v>
      </c>
      <c r="D103" s="83" t="s">
        <v>37</v>
      </c>
      <c r="E103" t="s">
        <v>494</v>
      </c>
      <c r="F103" t="s">
        <v>500</v>
      </c>
      <c r="G103">
        <v>6</v>
      </c>
      <c r="H103">
        <v>6</v>
      </c>
      <c r="I103" s="11" t="s">
        <v>332</v>
      </c>
      <c r="J103" s="11" t="s">
        <v>331</v>
      </c>
      <c r="K103" t="s">
        <v>432</v>
      </c>
      <c r="L103" t="s">
        <v>336</v>
      </c>
      <c r="M103" t="str">
        <f t="shared" si="4"/>
        <v>JA</v>
      </c>
      <c r="N103" s="83" t="s">
        <v>36</v>
      </c>
      <c r="O103" s="83" t="s">
        <v>36</v>
      </c>
      <c r="P103" s="83" t="s">
        <v>59</v>
      </c>
      <c r="Q103" s="83" t="s">
        <v>48</v>
      </c>
    </row>
    <row r="104" spans="2:17" ht="12.75">
      <c r="B104">
        <f t="shared" si="5"/>
        <v>101</v>
      </c>
      <c r="C104" t="s">
        <v>1429</v>
      </c>
      <c r="D104" s="83" t="s">
        <v>63</v>
      </c>
      <c r="E104" t="s">
        <v>541</v>
      </c>
      <c r="F104" t="s">
        <v>500</v>
      </c>
      <c r="G104">
        <v>8</v>
      </c>
      <c r="H104">
        <v>8</v>
      </c>
      <c r="I104" s="11" t="s">
        <v>331</v>
      </c>
      <c r="J104" s="11" t="s">
        <v>432</v>
      </c>
      <c r="K104" s="11" t="s">
        <v>336</v>
      </c>
      <c r="L104" s="11" t="s">
        <v>439</v>
      </c>
      <c r="M104" t="str">
        <f t="shared" si="4"/>
        <v>JA</v>
      </c>
      <c r="N104" s="83" t="s">
        <v>36</v>
      </c>
      <c r="O104" s="83" t="s">
        <v>36</v>
      </c>
      <c r="P104" s="83" t="s">
        <v>48</v>
      </c>
      <c r="Q104" s="83" t="s">
        <v>37</v>
      </c>
    </row>
    <row r="105" spans="2:17" ht="12.75">
      <c r="B105">
        <f t="shared" si="5"/>
        <v>102</v>
      </c>
      <c r="C105" t="s">
        <v>1430</v>
      </c>
      <c r="D105" s="83" t="s">
        <v>37</v>
      </c>
      <c r="E105" t="s">
        <v>494</v>
      </c>
      <c r="F105" t="s">
        <v>500</v>
      </c>
      <c r="G105">
        <v>6</v>
      </c>
      <c r="H105">
        <v>6</v>
      </c>
      <c r="I105" s="11" t="s">
        <v>335</v>
      </c>
      <c r="J105" s="11" t="s">
        <v>332</v>
      </c>
      <c r="K105" s="11" t="s">
        <v>332</v>
      </c>
      <c r="L105" s="11" t="s">
        <v>429</v>
      </c>
      <c r="M105" t="str">
        <f t="shared" si="4"/>
        <v>JA</v>
      </c>
      <c r="N105" s="83" t="s">
        <v>36</v>
      </c>
      <c r="O105" s="83" t="s">
        <v>36</v>
      </c>
      <c r="P105" s="83" t="s">
        <v>59</v>
      </c>
      <c r="Q105" s="83" t="s">
        <v>48</v>
      </c>
    </row>
    <row r="106" spans="2:17" ht="12.75">
      <c r="B106">
        <f t="shared" si="5"/>
        <v>103</v>
      </c>
      <c r="C106" t="s">
        <v>228</v>
      </c>
      <c r="D106" s="83" t="s">
        <v>36</v>
      </c>
      <c r="E106" t="s">
        <v>473</v>
      </c>
      <c r="F106" t="s">
        <v>500</v>
      </c>
      <c r="G106">
        <v>5</v>
      </c>
      <c r="K106" s="11" t="s">
        <v>332</v>
      </c>
      <c r="L106" s="11" t="s">
        <v>332</v>
      </c>
      <c r="M106" t="s">
        <v>1940</v>
      </c>
      <c r="N106" s="83" t="s">
        <v>36</v>
      </c>
      <c r="O106" s="83" t="s">
        <v>48</v>
      </c>
      <c r="P106" s="83" t="s">
        <v>61</v>
      </c>
      <c r="Q106" s="83" t="s">
        <v>64</v>
      </c>
    </row>
    <row r="107" spans="2:17" ht="12.75">
      <c r="B107">
        <f t="shared" si="5"/>
        <v>104</v>
      </c>
      <c r="C107" t="s">
        <v>229</v>
      </c>
      <c r="D107" s="83" t="s">
        <v>924</v>
      </c>
      <c r="E107" t="s">
        <v>473</v>
      </c>
      <c r="F107" t="s">
        <v>500</v>
      </c>
      <c r="G107" s="114" t="s">
        <v>924</v>
      </c>
      <c r="K107" s="11" t="s">
        <v>425</v>
      </c>
      <c r="L107" s="11" t="s">
        <v>442</v>
      </c>
      <c r="M107" t="s">
        <v>1940</v>
      </c>
      <c r="N107" s="83" t="s">
        <v>36</v>
      </c>
      <c r="O107" s="83" t="s">
        <v>36</v>
      </c>
      <c r="P107" s="83" t="s">
        <v>59</v>
      </c>
      <c r="Q107" s="83" t="s">
        <v>48</v>
      </c>
    </row>
    <row r="108" spans="2:17" ht="12.75">
      <c r="B108">
        <f t="shared" si="5"/>
        <v>105</v>
      </c>
      <c r="C108" t="s">
        <v>912</v>
      </c>
      <c r="D108" s="83" t="s">
        <v>59</v>
      </c>
      <c r="E108" t="s">
        <v>473</v>
      </c>
      <c r="F108" t="s">
        <v>484</v>
      </c>
      <c r="G108">
        <v>11</v>
      </c>
      <c r="K108" s="11" t="s">
        <v>428</v>
      </c>
      <c r="L108" s="11" t="s">
        <v>334</v>
      </c>
      <c r="M108" t="s">
        <v>1940</v>
      </c>
      <c r="N108" s="83" t="s">
        <v>842</v>
      </c>
      <c r="O108" s="83" t="s">
        <v>924</v>
      </c>
      <c r="P108" s="83" t="s">
        <v>353</v>
      </c>
      <c r="Q108" s="83" t="s">
        <v>64</v>
      </c>
    </row>
    <row r="109" spans="2:17" ht="12.75">
      <c r="B109">
        <f t="shared" si="5"/>
        <v>106</v>
      </c>
      <c r="C109" t="s">
        <v>913</v>
      </c>
      <c r="D109" s="83" t="s">
        <v>59</v>
      </c>
      <c r="E109" t="s">
        <v>494</v>
      </c>
      <c r="F109" t="s">
        <v>484</v>
      </c>
      <c r="G109">
        <v>11</v>
      </c>
      <c r="K109" s="11" t="s">
        <v>335</v>
      </c>
      <c r="L109" s="11" t="s">
        <v>335</v>
      </c>
      <c r="M109" t="s">
        <v>1940</v>
      </c>
      <c r="N109" s="83" t="s">
        <v>842</v>
      </c>
      <c r="O109" s="83" t="s">
        <v>924</v>
      </c>
      <c r="P109" s="83" t="s">
        <v>353</v>
      </c>
      <c r="Q109" s="83" t="s">
        <v>64</v>
      </c>
    </row>
    <row r="110" spans="2:13" ht="12.75">
      <c r="B110">
        <f t="shared" si="5"/>
        <v>107</v>
      </c>
      <c r="C110" t="s">
        <v>2173</v>
      </c>
      <c r="D110" s="83" t="s">
        <v>63</v>
      </c>
      <c r="E110" t="s">
        <v>541</v>
      </c>
      <c r="F110" t="s">
        <v>473</v>
      </c>
      <c r="G110">
        <v>8</v>
      </c>
      <c r="K110" s="11" t="s">
        <v>429</v>
      </c>
      <c r="L110" s="11" t="s">
        <v>331</v>
      </c>
      <c r="M110" t="str">
        <f t="shared" si="4"/>
        <v>JA</v>
      </c>
    </row>
    <row r="111" spans="2:13" ht="12.75">
      <c r="B111">
        <f t="shared" si="5"/>
        <v>108</v>
      </c>
      <c r="C111" t="s">
        <v>905</v>
      </c>
      <c r="D111" s="83">
        <v>4</v>
      </c>
      <c r="E111" t="s">
        <v>541</v>
      </c>
      <c r="F111" t="s">
        <v>484</v>
      </c>
      <c r="G111">
        <v>4</v>
      </c>
      <c r="H111">
        <v>4</v>
      </c>
      <c r="K111" s="11" t="s">
        <v>332</v>
      </c>
      <c r="L111" s="11" t="s">
        <v>332</v>
      </c>
      <c r="M111" t="str">
        <f t="shared" si="4"/>
        <v>JA</v>
      </c>
    </row>
    <row r="112" spans="2:13" ht="12.75">
      <c r="B112">
        <f t="shared" si="5"/>
        <v>109</v>
      </c>
      <c r="C112" t="s">
        <v>1431</v>
      </c>
      <c r="D112" s="83" t="s">
        <v>920</v>
      </c>
      <c r="E112" t="s">
        <v>473</v>
      </c>
      <c r="F112" t="s">
        <v>500</v>
      </c>
      <c r="G112">
        <v>2</v>
      </c>
      <c r="I112" s="11" t="s">
        <v>425</v>
      </c>
      <c r="J112" s="11" t="s">
        <v>442</v>
      </c>
      <c r="M112" t="str">
        <f t="shared" si="4"/>
        <v>NEIN</v>
      </c>
    </row>
    <row r="113" spans="2:13" ht="12.75">
      <c r="B113">
        <f t="shared" si="5"/>
        <v>110</v>
      </c>
      <c r="C113" t="s">
        <v>329</v>
      </c>
      <c r="D113" s="83" t="s">
        <v>62</v>
      </c>
      <c r="E113" t="s">
        <v>494</v>
      </c>
      <c r="F113" t="s">
        <v>473</v>
      </c>
      <c r="G113">
        <v>7</v>
      </c>
      <c r="H113">
        <v>7</v>
      </c>
      <c r="I113" s="11" t="s">
        <v>331</v>
      </c>
      <c r="J113" s="11" t="s">
        <v>331</v>
      </c>
      <c r="K113" s="11" t="s">
        <v>331</v>
      </c>
      <c r="L113" s="11" t="s">
        <v>331</v>
      </c>
      <c r="M113" s="83" t="s">
        <v>2496</v>
      </c>
    </row>
    <row r="114" spans="2:13" ht="12.75">
      <c r="B114">
        <f t="shared" si="5"/>
        <v>111</v>
      </c>
      <c r="C114" t="s">
        <v>344</v>
      </c>
      <c r="D114" s="83" t="s">
        <v>61</v>
      </c>
      <c r="E114" t="s">
        <v>494</v>
      </c>
      <c r="F114" t="s">
        <v>500</v>
      </c>
      <c r="G114">
        <v>7</v>
      </c>
      <c r="H114">
        <v>7</v>
      </c>
      <c r="I114" s="11" t="s">
        <v>334</v>
      </c>
      <c r="J114" s="11" t="s">
        <v>429</v>
      </c>
      <c r="K114" s="11" t="s">
        <v>334</v>
      </c>
      <c r="L114" s="11" t="s">
        <v>429</v>
      </c>
      <c r="M114" s="83" t="s">
        <v>2496</v>
      </c>
    </row>
    <row r="115" spans="2:13" ht="12.75">
      <c r="B115">
        <f t="shared" si="5"/>
        <v>112</v>
      </c>
      <c r="C115" t="s">
        <v>345</v>
      </c>
      <c r="D115" s="83" t="s">
        <v>60</v>
      </c>
      <c r="E115" t="s">
        <v>494</v>
      </c>
      <c r="F115" t="s">
        <v>500</v>
      </c>
      <c r="G115">
        <v>5</v>
      </c>
      <c r="H115">
        <v>5</v>
      </c>
      <c r="I115" s="11" t="s">
        <v>428</v>
      </c>
      <c r="J115" s="11" t="s">
        <v>335</v>
      </c>
      <c r="K115" s="11" t="s">
        <v>428</v>
      </c>
      <c r="L115" s="11" t="s">
        <v>335</v>
      </c>
      <c r="M115" s="83" t="s">
        <v>2496</v>
      </c>
    </row>
    <row r="116" spans="2:13" ht="12.75">
      <c r="B116">
        <f t="shared" si="5"/>
        <v>113</v>
      </c>
      <c r="C116" t="s">
        <v>342</v>
      </c>
      <c r="D116" s="83" t="s">
        <v>38</v>
      </c>
      <c r="E116" t="s">
        <v>494</v>
      </c>
      <c r="F116" t="s">
        <v>484</v>
      </c>
      <c r="G116">
        <v>7</v>
      </c>
      <c r="H116">
        <v>7</v>
      </c>
      <c r="I116" s="11" t="s">
        <v>334</v>
      </c>
      <c r="J116" s="11" t="s">
        <v>332</v>
      </c>
      <c r="K116" s="11" t="s">
        <v>334</v>
      </c>
      <c r="L116" s="11" t="s">
        <v>332</v>
      </c>
      <c r="M116" s="83" t="s">
        <v>2496</v>
      </c>
    </row>
    <row r="117" spans="2:13" ht="12.75">
      <c r="B117">
        <f t="shared" si="5"/>
        <v>114</v>
      </c>
      <c r="C117" t="s">
        <v>343</v>
      </c>
      <c r="D117" s="83" t="s">
        <v>61</v>
      </c>
      <c r="E117" t="s">
        <v>494</v>
      </c>
      <c r="F117" t="s">
        <v>484</v>
      </c>
      <c r="G117">
        <v>6</v>
      </c>
      <c r="H117">
        <v>6</v>
      </c>
      <c r="I117" s="11" t="s">
        <v>332</v>
      </c>
      <c r="J117" s="11" t="s">
        <v>335</v>
      </c>
      <c r="K117" s="11" t="s">
        <v>332</v>
      </c>
      <c r="L117" s="11" t="s">
        <v>335</v>
      </c>
      <c r="M117" s="83" t="s">
        <v>2496</v>
      </c>
    </row>
    <row r="118" spans="2:13" ht="12.75">
      <c r="B118">
        <f t="shared" si="5"/>
        <v>115</v>
      </c>
      <c r="C118" t="s">
        <v>2248</v>
      </c>
      <c r="D118" s="83" t="s">
        <v>62</v>
      </c>
      <c r="E118" t="s">
        <v>541</v>
      </c>
      <c r="F118" t="s">
        <v>484</v>
      </c>
      <c r="G118">
        <v>7</v>
      </c>
      <c r="K118" s="11" t="s">
        <v>331</v>
      </c>
      <c r="L118" s="11" t="s">
        <v>331</v>
      </c>
      <c r="M118" t="str">
        <f aca="true" t="shared" si="6" ref="M118:M147">IF($K118=0,"NEIN","JA")</f>
        <v>JA</v>
      </c>
    </row>
    <row r="119" spans="2:13" ht="12.75">
      <c r="B119">
        <f t="shared" si="5"/>
        <v>116</v>
      </c>
      <c r="C119" t="s">
        <v>909</v>
      </c>
      <c r="D119" s="83">
        <v>20</v>
      </c>
      <c r="E119" t="s">
        <v>541</v>
      </c>
      <c r="F119" t="s">
        <v>500</v>
      </c>
      <c r="G119">
        <v>10</v>
      </c>
      <c r="I119" s="11" t="s">
        <v>339</v>
      </c>
      <c r="J119" s="11" t="s">
        <v>340</v>
      </c>
      <c r="M119" t="str">
        <f t="shared" si="6"/>
        <v>NEIN</v>
      </c>
    </row>
    <row r="120" spans="2:13" ht="12.75">
      <c r="B120">
        <f t="shared" si="5"/>
        <v>117</v>
      </c>
      <c r="C120" t="s">
        <v>438</v>
      </c>
      <c r="D120" s="83" t="s">
        <v>48</v>
      </c>
      <c r="E120" t="s">
        <v>494</v>
      </c>
      <c r="F120" t="s">
        <v>1433</v>
      </c>
      <c r="G120">
        <v>3</v>
      </c>
      <c r="I120" s="11" t="s">
        <v>331</v>
      </c>
      <c r="J120" s="11" t="s">
        <v>331</v>
      </c>
      <c r="M120" t="str">
        <f t="shared" si="6"/>
        <v>NEIN</v>
      </c>
    </row>
    <row r="121" spans="2:17" ht="12.75">
      <c r="B121">
        <f t="shared" si="5"/>
        <v>118</v>
      </c>
      <c r="C121" t="s">
        <v>2414</v>
      </c>
      <c r="D121" s="83">
        <v>5</v>
      </c>
      <c r="E121" t="s">
        <v>494</v>
      </c>
      <c r="F121" t="s">
        <v>500</v>
      </c>
      <c r="G121">
        <v>4</v>
      </c>
      <c r="I121" s="11" t="s">
        <v>332</v>
      </c>
      <c r="J121" s="11" t="s">
        <v>335</v>
      </c>
      <c r="M121" t="str">
        <f t="shared" si="6"/>
        <v>NEIN</v>
      </c>
      <c r="N121" s="83" t="s">
        <v>36</v>
      </c>
      <c r="O121" s="83" t="s">
        <v>36</v>
      </c>
      <c r="P121" s="83" t="s">
        <v>59</v>
      </c>
      <c r="Q121" s="83" t="s">
        <v>48</v>
      </c>
    </row>
    <row r="122" spans="2:17" ht="12.75">
      <c r="B122">
        <f t="shared" si="5"/>
        <v>119</v>
      </c>
      <c r="C122" t="s">
        <v>2415</v>
      </c>
      <c r="D122" s="83">
        <v>6</v>
      </c>
      <c r="E122" t="s">
        <v>494</v>
      </c>
      <c r="F122" t="s">
        <v>484</v>
      </c>
      <c r="G122">
        <v>4</v>
      </c>
      <c r="I122" s="11" t="s">
        <v>428</v>
      </c>
      <c r="J122" s="11" t="s">
        <v>335</v>
      </c>
      <c r="M122" t="str">
        <f t="shared" si="6"/>
        <v>NEIN</v>
      </c>
      <c r="N122" s="83" t="s">
        <v>36</v>
      </c>
      <c r="O122" s="83" t="s">
        <v>36</v>
      </c>
      <c r="P122" s="83" t="s">
        <v>59</v>
      </c>
      <c r="Q122" s="83" t="s">
        <v>48</v>
      </c>
    </row>
    <row r="123" spans="2:17" ht="12.75">
      <c r="B123">
        <f t="shared" si="5"/>
        <v>120</v>
      </c>
      <c r="C123" t="s">
        <v>443</v>
      </c>
      <c r="D123" s="83" t="s">
        <v>920</v>
      </c>
      <c r="E123" t="s">
        <v>473</v>
      </c>
      <c r="F123" t="s">
        <v>500</v>
      </c>
      <c r="G123">
        <v>2</v>
      </c>
      <c r="I123" s="11" t="s">
        <v>425</v>
      </c>
      <c r="J123" s="11" t="s">
        <v>442</v>
      </c>
      <c r="M123" t="s">
        <v>1940</v>
      </c>
      <c r="N123" s="83" t="s">
        <v>846</v>
      </c>
      <c r="O123" s="83" t="s">
        <v>36</v>
      </c>
      <c r="P123" s="83" t="s">
        <v>59</v>
      </c>
      <c r="Q123" s="83" t="s">
        <v>60</v>
      </c>
    </row>
    <row r="124" spans="2:17" ht="12.75">
      <c r="B124">
        <f t="shared" si="5"/>
        <v>121</v>
      </c>
      <c r="C124" t="s">
        <v>2416</v>
      </c>
      <c r="D124" s="83" t="s">
        <v>59</v>
      </c>
      <c r="E124" t="s">
        <v>541</v>
      </c>
      <c r="F124" t="s">
        <v>500</v>
      </c>
      <c r="G124">
        <v>4</v>
      </c>
      <c r="H124">
        <v>4</v>
      </c>
      <c r="I124" s="11" t="s">
        <v>335</v>
      </c>
      <c r="J124" s="11" t="s">
        <v>335</v>
      </c>
      <c r="K124" t="s">
        <v>332</v>
      </c>
      <c r="L124" t="s">
        <v>332</v>
      </c>
      <c r="M124" t="str">
        <f t="shared" si="6"/>
        <v>JA</v>
      </c>
      <c r="N124" s="83" t="s">
        <v>36</v>
      </c>
      <c r="O124" s="83" t="s">
        <v>59</v>
      </c>
      <c r="P124" s="83" t="s">
        <v>60</v>
      </c>
      <c r="Q124" s="83" t="s">
        <v>61</v>
      </c>
    </row>
    <row r="125" spans="2:18" ht="12.75">
      <c r="B125">
        <f t="shared" si="5"/>
        <v>122</v>
      </c>
      <c r="C125" t="s">
        <v>1432</v>
      </c>
      <c r="D125" s="83" t="s">
        <v>59</v>
      </c>
      <c r="E125" t="s">
        <v>541</v>
      </c>
      <c r="F125" t="s">
        <v>500</v>
      </c>
      <c r="G125">
        <v>4</v>
      </c>
      <c r="H125">
        <v>4</v>
      </c>
      <c r="I125" s="11" t="s">
        <v>335</v>
      </c>
      <c r="J125" s="11" t="s">
        <v>335</v>
      </c>
      <c r="K125" s="11" t="s">
        <v>428</v>
      </c>
      <c r="L125" s="11" t="s">
        <v>332</v>
      </c>
      <c r="M125" t="str">
        <f t="shared" si="6"/>
        <v>JA</v>
      </c>
      <c r="N125" s="83" t="s">
        <v>36</v>
      </c>
      <c r="O125" s="83" t="s">
        <v>59</v>
      </c>
      <c r="P125" s="83" t="s">
        <v>60</v>
      </c>
      <c r="Q125" s="83" t="s">
        <v>61</v>
      </c>
      <c r="R125" s="113"/>
    </row>
    <row r="126" spans="2:13" ht="12.75">
      <c r="B126">
        <f t="shared" si="5"/>
        <v>123</v>
      </c>
      <c r="C126" t="s">
        <v>2451</v>
      </c>
      <c r="D126" s="83" t="s">
        <v>168</v>
      </c>
      <c r="E126" t="s">
        <v>541</v>
      </c>
      <c r="F126" t="s">
        <v>473</v>
      </c>
      <c r="H126">
        <v>10</v>
      </c>
      <c r="K126" s="11" t="s">
        <v>328</v>
      </c>
      <c r="L126" s="11" t="s">
        <v>439</v>
      </c>
      <c r="M126" t="str">
        <f t="shared" si="6"/>
        <v>JA</v>
      </c>
    </row>
    <row r="127" spans="2:13" ht="12.75">
      <c r="B127">
        <f t="shared" si="5"/>
        <v>124</v>
      </c>
      <c r="M127" t="str">
        <f t="shared" si="6"/>
        <v>NEIN</v>
      </c>
    </row>
    <row r="128" spans="2:13" ht="12.75">
      <c r="B128">
        <f t="shared" si="5"/>
        <v>125</v>
      </c>
      <c r="M128" t="str">
        <f t="shared" si="6"/>
        <v>NEIN</v>
      </c>
    </row>
    <row r="129" spans="2:13" ht="12.75">
      <c r="B129">
        <f t="shared" si="5"/>
        <v>126</v>
      </c>
      <c r="M129" t="str">
        <f t="shared" si="6"/>
        <v>NEIN</v>
      </c>
    </row>
    <row r="130" spans="2:13" ht="12.75">
      <c r="B130">
        <f t="shared" si="5"/>
        <v>127</v>
      </c>
      <c r="M130" t="str">
        <f t="shared" si="6"/>
        <v>NEIN</v>
      </c>
    </row>
    <row r="131" spans="2:13" ht="12.75">
      <c r="B131">
        <f t="shared" si="5"/>
        <v>128</v>
      </c>
      <c r="M131" t="str">
        <f t="shared" si="6"/>
        <v>NEIN</v>
      </c>
    </row>
    <row r="132" spans="2:13" ht="12.75">
      <c r="B132">
        <f t="shared" si="5"/>
        <v>129</v>
      </c>
      <c r="M132" t="str">
        <f t="shared" si="6"/>
        <v>NEIN</v>
      </c>
    </row>
    <row r="133" spans="2:13" ht="12.75">
      <c r="B133">
        <f aca="true" t="shared" si="7" ref="B133:B194">B132+1</f>
        <v>130</v>
      </c>
      <c r="M133" t="str">
        <f t="shared" si="6"/>
        <v>NEIN</v>
      </c>
    </row>
    <row r="134" spans="2:13" ht="12.75">
      <c r="B134">
        <f t="shared" si="7"/>
        <v>131</v>
      </c>
      <c r="M134" t="str">
        <f t="shared" si="6"/>
        <v>NEIN</v>
      </c>
    </row>
    <row r="135" spans="2:13" ht="12.75">
      <c r="B135">
        <f t="shared" si="7"/>
        <v>132</v>
      </c>
      <c r="M135" t="str">
        <f t="shared" si="6"/>
        <v>NEIN</v>
      </c>
    </row>
    <row r="136" spans="2:13" ht="12.75">
      <c r="B136">
        <f t="shared" si="7"/>
        <v>133</v>
      </c>
      <c r="M136" t="str">
        <f t="shared" si="6"/>
        <v>NEIN</v>
      </c>
    </row>
    <row r="137" spans="2:13" ht="12.75">
      <c r="B137">
        <f t="shared" si="7"/>
        <v>134</v>
      </c>
      <c r="M137" t="str">
        <f t="shared" si="6"/>
        <v>NEIN</v>
      </c>
    </row>
    <row r="138" spans="2:13" ht="12.75">
      <c r="B138">
        <f t="shared" si="7"/>
        <v>135</v>
      </c>
      <c r="M138" t="str">
        <f t="shared" si="6"/>
        <v>NEIN</v>
      </c>
    </row>
    <row r="139" spans="2:13" ht="12.75">
      <c r="B139">
        <f t="shared" si="7"/>
        <v>136</v>
      </c>
      <c r="M139" t="str">
        <f t="shared" si="6"/>
        <v>NEIN</v>
      </c>
    </row>
    <row r="140" spans="2:13" ht="12.75">
      <c r="B140">
        <f t="shared" si="7"/>
        <v>137</v>
      </c>
      <c r="M140" t="str">
        <f t="shared" si="6"/>
        <v>NEIN</v>
      </c>
    </row>
    <row r="141" spans="2:13" ht="12.75">
      <c r="B141">
        <f t="shared" si="7"/>
        <v>138</v>
      </c>
      <c r="M141" t="str">
        <f t="shared" si="6"/>
        <v>NEIN</v>
      </c>
    </row>
    <row r="142" spans="2:13" ht="12.75">
      <c r="B142">
        <f t="shared" si="7"/>
        <v>139</v>
      </c>
      <c r="M142" t="str">
        <f t="shared" si="6"/>
        <v>NEIN</v>
      </c>
    </row>
    <row r="143" spans="2:13" ht="12.75">
      <c r="B143">
        <f t="shared" si="7"/>
        <v>140</v>
      </c>
      <c r="M143" t="str">
        <f t="shared" si="6"/>
        <v>NEIN</v>
      </c>
    </row>
    <row r="144" spans="2:13" ht="12.75">
      <c r="B144">
        <f t="shared" si="7"/>
        <v>141</v>
      </c>
      <c r="M144" t="str">
        <f t="shared" si="6"/>
        <v>NEIN</v>
      </c>
    </row>
    <row r="145" spans="2:13" ht="12.75">
      <c r="B145">
        <f t="shared" si="7"/>
        <v>142</v>
      </c>
      <c r="M145" t="str">
        <f t="shared" si="6"/>
        <v>NEIN</v>
      </c>
    </row>
    <row r="146" spans="2:13" ht="12.75">
      <c r="B146">
        <f t="shared" si="7"/>
        <v>143</v>
      </c>
      <c r="M146" t="str">
        <f t="shared" si="6"/>
        <v>NEIN</v>
      </c>
    </row>
    <row r="147" spans="2:13" ht="12.75">
      <c r="B147">
        <f t="shared" si="7"/>
        <v>144</v>
      </c>
      <c r="M147" t="str">
        <f t="shared" si="6"/>
        <v>NEIN</v>
      </c>
    </row>
    <row r="148" ht="12.75">
      <c r="B148">
        <f t="shared" si="7"/>
        <v>145</v>
      </c>
    </row>
    <row r="149" ht="12.75">
      <c r="B149">
        <f t="shared" si="7"/>
        <v>146</v>
      </c>
    </row>
    <row r="150" ht="12.75">
      <c r="B150">
        <f t="shared" si="7"/>
        <v>147</v>
      </c>
    </row>
    <row r="151" ht="12.75">
      <c r="B151">
        <f t="shared" si="7"/>
        <v>148</v>
      </c>
    </row>
    <row r="152" ht="12.75">
      <c r="B152">
        <f t="shared" si="7"/>
        <v>149</v>
      </c>
    </row>
    <row r="153" ht="12.75">
      <c r="B153">
        <f t="shared" si="7"/>
        <v>150</v>
      </c>
    </row>
    <row r="154" ht="12.75">
      <c r="B154">
        <f t="shared" si="7"/>
        <v>151</v>
      </c>
    </row>
    <row r="155" ht="12.75">
      <c r="B155">
        <f t="shared" si="7"/>
        <v>152</v>
      </c>
    </row>
    <row r="156" ht="12.75">
      <c r="B156">
        <f t="shared" si="7"/>
        <v>153</v>
      </c>
    </row>
    <row r="157" ht="12.75">
      <c r="B157">
        <f t="shared" si="7"/>
        <v>154</v>
      </c>
    </row>
    <row r="158" ht="12.75">
      <c r="B158">
        <f t="shared" si="7"/>
        <v>155</v>
      </c>
    </row>
    <row r="159" ht="12.75">
      <c r="B159">
        <f t="shared" si="7"/>
        <v>156</v>
      </c>
    </row>
    <row r="160" ht="12.75">
      <c r="B160">
        <f t="shared" si="7"/>
        <v>157</v>
      </c>
    </row>
    <row r="161" ht="12.75">
      <c r="B161">
        <f t="shared" si="7"/>
        <v>158</v>
      </c>
    </row>
    <row r="162" ht="12.75">
      <c r="B162">
        <f t="shared" si="7"/>
        <v>159</v>
      </c>
    </row>
    <row r="163" ht="12.75">
      <c r="B163">
        <f t="shared" si="7"/>
        <v>160</v>
      </c>
    </row>
    <row r="164" ht="12.75">
      <c r="B164">
        <f t="shared" si="7"/>
        <v>161</v>
      </c>
    </row>
    <row r="165" ht="12.75">
      <c r="B165">
        <f t="shared" si="7"/>
        <v>162</v>
      </c>
    </row>
    <row r="166" ht="12.75">
      <c r="B166">
        <f t="shared" si="7"/>
        <v>163</v>
      </c>
    </row>
    <row r="167" ht="12.75">
      <c r="B167">
        <f t="shared" si="7"/>
        <v>164</v>
      </c>
    </row>
    <row r="168" ht="12.75">
      <c r="B168">
        <f t="shared" si="7"/>
        <v>165</v>
      </c>
    </row>
    <row r="169" ht="12.75">
      <c r="B169">
        <f t="shared" si="7"/>
        <v>166</v>
      </c>
    </row>
    <row r="170" ht="12.75">
      <c r="B170">
        <f t="shared" si="7"/>
        <v>167</v>
      </c>
    </row>
    <row r="171" ht="12.75">
      <c r="B171">
        <f t="shared" si="7"/>
        <v>168</v>
      </c>
    </row>
    <row r="172" ht="12.75">
      <c r="B172">
        <f t="shared" si="7"/>
        <v>169</v>
      </c>
    </row>
    <row r="173" ht="12.75">
      <c r="B173">
        <f t="shared" si="7"/>
        <v>170</v>
      </c>
    </row>
    <row r="174" ht="12.75">
      <c r="B174">
        <f t="shared" si="7"/>
        <v>171</v>
      </c>
    </row>
    <row r="175" ht="12.75">
      <c r="B175">
        <f t="shared" si="7"/>
        <v>172</v>
      </c>
    </row>
    <row r="176" ht="12.75">
      <c r="B176">
        <f t="shared" si="7"/>
        <v>173</v>
      </c>
    </row>
    <row r="177" ht="12.75">
      <c r="B177">
        <f t="shared" si="7"/>
        <v>174</v>
      </c>
    </row>
    <row r="178" ht="12.75">
      <c r="B178">
        <f t="shared" si="7"/>
        <v>175</v>
      </c>
    </row>
    <row r="179" ht="12.75">
      <c r="B179">
        <f t="shared" si="7"/>
        <v>176</v>
      </c>
    </row>
    <row r="180" ht="12.75">
      <c r="B180">
        <f t="shared" si="7"/>
        <v>177</v>
      </c>
    </row>
    <row r="181" ht="12.75">
      <c r="B181">
        <f t="shared" si="7"/>
        <v>178</v>
      </c>
    </row>
    <row r="182" ht="12.75">
      <c r="B182">
        <f t="shared" si="7"/>
        <v>179</v>
      </c>
    </row>
    <row r="183" ht="12.75">
      <c r="B183">
        <f t="shared" si="7"/>
        <v>180</v>
      </c>
    </row>
    <row r="184" ht="12.75">
      <c r="B184">
        <f t="shared" si="7"/>
        <v>181</v>
      </c>
    </row>
    <row r="185" ht="12.75">
      <c r="B185">
        <f t="shared" si="7"/>
        <v>182</v>
      </c>
    </row>
    <row r="186" ht="12.75">
      <c r="B186">
        <f t="shared" si="7"/>
        <v>183</v>
      </c>
    </row>
    <row r="187" ht="12.75">
      <c r="B187">
        <f t="shared" si="7"/>
        <v>184</v>
      </c>
    </row>
    <row r="188" ht="12.75">
      <c r="B188">
        <f t="shared" si="7"/>
        <v>185</v>
      </c>
    </row>
    <row r="189" ht="12.75">
      <c r="B189">
        <f t="shared" si="7"/>
        <v>186</v>
      </c>
    </row>
    <row r="190" ht="12.75">
      <c r="B190">
        <f t="shared" si="7"/>
        <v>187</v>
      </c>
    </row>
    <row r="191" ht="12.75">
      <c r="B191">
        <f t="shared" si="7"/>
        <v>188</v>
      </c>
    </row>
    <row r="192" ht="12.75">
      <c r="B192">
        <f t="shared" si="7"/>
        <v>189</v>
      </c>
    </row>
    <row r="193" ht="12.75">
      <c r="B193">
        <f t="shared" si="7"/>
        <v>190</v>
      </c>
    </row>
    <row r="194" ht="12.75">
      <c r="B194">
        <f t="shared" si="7"/>
        <v>191</v>
      </c>
    </row>
  </sheetData>
  <autoFilter ref="B3:Q194"/>
  <printOptions/>
  <pageMargins left="0.75" right="0.75" top="1" bottom="1" header="0.4921259845" footer="0.49212598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Tabelle2"/>
  <dimension ref="A1:BX85"/>
  <sheetViews>
    <sheetView workbookViewId="0" topLeftCell="A1">
      <selection activeCell="AJ12" sqref="AJ12:AL13"/>
    </sheetView>
  </sheetViews>
  <sheetFormatPr defaultColWidth="11.421875" defaultRowHeight="12.75"/>
  <cols>
    <col min="1" max="4" width="2.421875" style="130" customWidth="1"/>
    <col min="5" max="5" width="5.140625" style="130" customWidth="1"/>
    <col min="6" max="16384" width="2.421875" style="130" customWidth="1"/>
  </cols>
  <sheetData>
    <row r="1" spans="1:38" ht="12.75">
      <c r="A1" s="234"/>
      <c r="B1" s="256" t="s">
        <v>1</v>
      </c>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row>
    <row r="2" spans="1:38" ht="12.75">
      <c r="A2" s="234"/>
      <c r="B2" s="256"/>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row>
    <row r="3" spans="1:38" ht="12.75">
      <c r="A3" s="234"/>
      <c r="B3" s="256"/>
      <c r="C3" s="234"/>
      <c r="D3" s="234"/>
      <c r="E3" s="234"/>
      <c r="F3" s="234"/>
      <c r="G3" s="234"/>
      <c r="H3" s="234"/>
      <c r="I3" s="234"/>
      <c r="J3" s="234"/>
      <c r="K3" s="234"/>
      <c r="L3" s="234"/>
      <c r="M3" s="234"/>
      <c r="N3" s="234"/>
      <c r="O3" s="234"/>
      <c r="P3" s="234"/>
      <c r="Q3" s="234"/>
      <c r="R3" s="177">
        <v>11</v>
      </c>
      <c r="S3" s="234"/>
      <c r="T3" s="234"/>
      <c r="U3" s="441" t="s">
        <v>2074</v>
      </c>
      <c r="V3" s="442"/>
      <c r="W3" s="442"/>
      <c r="X3" s="442"/>
      <c r="Y3" s="442"/>
      <c r="Z3" s="442"/>
      <c r="AA3" s="442"/>
      <c r="AB3" s="240"/>
      <c r="AC3" s="443">
        <f>IF(VLOOKUP(R3,'ECKDAT barde'!A35:K51,11)&lt;&gt;'BOGEN "ALLE"'!A30,"FEHLER",VLOOKUP(R3,'ECKDAT barde'!A35:K51,11))</f>
        <v>19</v>
      </c>
      <c r="AD3" s="444"/>
      <c r="AE3" s="445"/>
      <c r="AF3" s="446"/>
      <c r="AG3" s="446"/>
      <c r="AH3" s="446"/>
      <c r="AI3" s="446"/>
      <c r="AJ3" s="446"/>
      <c r="AK3" s="446"/>
      <c r="AL3" s="447"/>
    </row>
    <row r="4" spans="1:38" ht="6" customHeight="1">
      <c r="A4" s="234"/>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row>
    <row r="5" spans="1:76" ht="10.5">
      <c r="A5" s="177">
        <v>1</v>
      </c>
      <c r="B5" s="441" t="s">
        <v>2073</v>
      </c>
      <c r="C5" s="442"/>
      <c r="D5" s="442"/>
      <c r="E5" s="442"/>
      <c r="F5" s="442"/>
      <c r="G5" s="240"/>
      <c r="H5" s="443">
        <f>VLOOKUP(A5,'ECKDAT barde'!A4:N23,14)</f>
        <v>1</v>
      </c>
      <c r="I5" s="446"/>
      <c r="J5" s="446"/>
      <c r="K5" s="446"/>
      <c r="L5" s="446"/>
      <c r="M5" s="446"/>
      <c r="N5" s="446"/>
      <c r="O5" s="446"/>
      <c r="P5" s="446"/>
      <c r="Q5" s="447"/>
      <c r="R5" s="177">
        <v>1</v>
      </c>
      <c r="S5" s="234"/>
      <c r="T5" s="234"/>
      <c r="U5" s="441" t="s">
        <v>313</v>
      </c>
      <c r="V5" s="442"/>
      <c r="W5" s="442"/>
      <c r="X5" s="442"/>
      <c r="Y5" s="442"/>
      <c r="Z5" s="442"/>
      <c r="AA5" s="442"/>
      <c r="AB5" s="240"/>
      <c r="AC5" s="443" t="str">
        <f>VLOOKUP(R5,'ECKDAT barde'!A54:J66,2)</f>
        <v>BÄNDERPANZER</v>
      </c>
      <c r="AD5" s="445"/>
      <c r="AE5" s="445"/>
      <c r="AF5" s="445"/>
      <c r="AG5" s="445"/>
      <c r="AH5" s="445"/>
      <c r="AI5" s="445"/>
      <c r="AJ5" s="445"/>
      <c r="AK5" s="445"/>
      <c r="AL5" s="44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row>
    <row r="6" spans="1:76" ht="6" customHeight="1">
      <c r="A6" s="234"/>
      <c r="B6" s="257"/>
      <c r="C6" s="234"/>
      <c r="D6" s="234"/>
      <c r="E6" s="258"/>
      <c r="F6" s="234"/>
      <c r="G6" s="234"/>
      <c r="H6" s="234"/>
      <c r="I6" s="234"/>
      <c r="J6" s="234"/>
      <c r="K6" s="234"/>
      <c r="L6" s="234"/>
      <c r="M6" s="234"/>
      <c r="N6" s="234"/>
      <c r="O6" s="234"/>
      <c r="P6" s="234"/>
      <c r="Q6" s="234"/>
      <c r="R6" s="234"/>
      <c r="S6" s="234"/>
      <c r="T6" s="234"/>
      <c r="U6" s="257"/>
      <c r="V6" s="234"/>
      <c r="W6" s="234"/>
      <c r="X6" s="234"/>
      <c r="Y6" s="234"/>
      <c r="Z6" s="234"/>
      <c r="AA6" s="234"/>
      <c r="AB6" s="234"/>
      <c r="AC6" s="258"/>
      <c r="AD6" s="258"/>
      <c r="AE6" s="259"/>
      <c r="AF6" s="234"/>
      <c r="AG6" s="234"/>
      <c r="AH6" s="234"/>
      <c r="AI6" s="234"/>
      <c r="AJ6" s="234"/>
      <c r="AK6" s="234"/>
      <c r="AL6" s="234"/>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row>
    <row r="7" spans="1:76" ht="10.5">
      <c r="A7" s="177">
        <v>1</v>
      </c>
      <c r="B7" s="441" t="s">
        <v>177</v>
      </c>
      <c r="C7" s="442"/>
      <c r="D7" s="442"/>
      <c r="E7" s="442"/>
      <c r="F7" s="442"/>
      <c r="G7" s="240"/>
      <c r="H7" s="443" t="str">
        <f>VLOOKUP(A7,'ECKDAT barde'!A26:J32,2)</f>
        <v>Elf</v>
      </c>
      <c r="I7" s="446"/>
      <c r="J7" s="446"/>
      <c r="K7" s="446"/>
      <c r="L7" s="446"/>
      <c r="M7" s="446"/>
      <c r="N7" s="446"/>
      <c r="O7" s="446"/>
      <c r="P7" s="446"/>
      <c r="Q7" s="447"/>
      <c r="R7" s="177">
        <v>1</v>
      </c>
      <c r="S7" s="234"/>
      <c r="T7" s="234"/>
      <c r="U7" s="441" t="s">
        <v>268</v>
      </c>
      <c r="V7" s="442"/>
      <c r="W7" s="442"/>
      <c r="X7" s="442"/>
      <c r="Y7" s="442"/>
      <c r="Z7" s="442"/>
      <c r="AA7" s="442"/>
      <c r="AB7" s="240"/>
      <c r="AC7" s="443" t="str">
        <f>IF(VLOOKUP(R7,'ECKDAT barde'!A69:I81,2)&lt;&gt;'BOGEN "ALLE"'!A38,"FEHLER",VLOOKUP(R7,'ECKDAT barde'!A69:I81,2))</f>
        <v>FEHLER</v>
      </c>
      <c r="AD7" s="444"/>
      <c r="AE7" s="445"/>
      <c r="AF7" s="446"/>
      <c r="AG7" s="446"/>
      <c r="AH7" s="446"/>
      <c r="AI7" s="446"/>
      <c r="AJ7" s="446"/>
      <c r="AK7" s="446"/>
      <c r="AL7" s="447"/>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row>
    <row r="8" spans="1:76" ht="6" customHeight="1">
      <c r="A8" s="234"/>
      <c r="B8" s="234"/>
      <c r="C8" s="234"/>
      <c r="D8" s="234"/>
      <c r="E8" s="258"/>
      <c r="F8" s="234"/>
      <c r="G8" s="234"/>
      <c r="H8" s="234"/>
      <c r="I8" s="234"/>
      <c r="J8" s="234"/>
      <c r="K8" s="234"/>
      <c r="L8" s="234"/>
      <c r="M8" s="234"/>
      <c r="N8" s="234"/>
      <c r="O8" s="234"/>
      <c r="P8" s="234"/>
      <c r="Q8" s="234"/>
      <c r="R8" s="220">
        <v>5</v>
      </c>
      <c r="S8" s="234"/>
      <c r="T8" s="234"/>
      <c r="U8" s="234"/>
      <c r="V8" s="234"/>
      <c r="W8" s="234"/>
      <c r="X8" s="234"/>
      <c r="Y8" s="234"/>
      <c r="Z8" s="234"/>
      <c r="AA8" s="234"/>
      <c r="AB8" s="234"/>
      <c r="AC8" s="234"/>
      <c r="AD8" s="234"/>
      <c r="AE8" s="234"/>
      <c r="AF8" s="234"/>
      <c r="AG8" s="234"/>
      <c r="AH8" s="234"/>
      <c r="AI8" s="234"/>
      <c r="AJ8" s="234"/>
      <c r="AK8" s="234"/>
      <c r="AL8" s="234"/>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row>
    <row r="9" spans="1:76" ht="4.5" customHeight="1">
      <c r="A9" s="234"/>
      <c r="B9" s="234"/>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row>
    <row r="10" spans="1:76" ht="4.5" customHeight="1">
      <c r="A10" s="234"/>
      <c r="B10" s="234"/>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5"/>
      <c r="AN10" s="235"/>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row>
    <row r="11" spans="1:76" ht="10.5">
      <c r="A11" s="234"/>
      <c r="B11" s="234"/>
      <c r="C11" s="234"/>
      <c r="D11" s="234"/>
      <c r="E11" s="234"/>
      <c r="F11" s="234"/>
      <c r="G11" s="234"/>
      <c r="H11" s="234"/>
      <c r="I11" s="234"/>
      <c r="J11" s="220"/>
      <c r="K11" s="220"/>
      <c r="L11" s="236" t="s">
        <v>2108</v>
      </c>
      <c r="M11" s="237"/>
      <c r="N11" s="237"/>
      <c r="O11" s="237"/>
      <c r="P11" s="236" t="s">
        <v>177</v>
      </c>
      <c r="Q11" s="237"/>
      <c r="R11" s="237"/>
      <c r="S11" s="237"/>
      <c r="T11" s="236" t="s">
        <v>311</v>
      </c>
      <c r="U11" s="237"/>
      <c r="V11" s="237"/>
      <c r="W11" s="237"/>
      <c r="X11" s="236" t="s">
        <v>313</v>
      </c>
      <c r="Y11" s="237"/>
      <c r="Z11" s="237"/>
      <c r="AA11" s="220"/>
      <c r="AB11" s="437" t="s">
        <v>2090</v>
      </c>
      <c r="AC11" s="438"/>
      <c r="AD11" s="438"/>
      <c r="AE11" s="235"/>
      <c r="AF11" s="437" t="s">
        <v>326</v>
      </c>
      <c r="AG11" s="439"/>
      <c r="AH11" s="439"/>
      <c r="AI11" s="235"/>
      <c r="AJ11" s="238"/>
      <c r="AK11" s="239" t="s">
        <v>312</v>
      </c>
      <c r="AL11" s="238"/>
      <c r="AM11" s="235"/>
      <c r="AN11" s="235"/>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row>
    <row r="12" spans="1:76" ht="10.5">
      <c r="A12" s="234"/>
      <c r="B12" s="415" t="str">
        <f>(IF(AJ12&lt;K13+O13,"zu Gering",IF(AJ12-O13-K13&gt;VLOOKUP($A$5,'ECKDAT barde'!$A$4:$N$23,12),"zu HOCH",IF(AJ12&gt;95%,"MAXIMAL 95%","TASCHENDIEBSTAHL "))))</f>
        <v>TASCHENDIEBSTAHL </v>
      </c>
      <c r="C12" s="416"/>
      <c r="D12" s="416"/>
      <c r="E12" s="416"/>
      <c r="F12" s="416"/>
      <c r="G12" s="416"/>
      <c r="H12" s="416"/>
      <c r="I12" s="417"/>
      <c r="J12" s="220"/>
      <c r="K12" s="220"/>
      <c r="L12" s="236"/>
      <c r="M12" s="237"/>
      <c r="N12" s="237"/>
      <c r="O12" s="237"/>
      <c r="P12" s="236"/>
      <c r="Q12" s="237"/>
      <c r="R12" s="237"/>
      <c r="S12" s="237"/>
      <c r="T12" s="236"/>
      <c r="U12" s="237"/>
      <c r="V12" s="237"/>
      <c r="W12" s="237"/>
      <c r="X12" s="236"/>
      <c r="Y12" s="237"/>
      <c r="Z12" s="237"/>
      <c r="AA12" s="220"/>
      <c r="AB12" s="438"/>
      <c r="AC12" s="438"/>
      <c r="AD12" s="438"/>
      <c r="AE12" s="235"/>
      <c r="AF12" s="440"/>
      <c r="AG12" s="440"/>
      <c r="AH12" s="440"/>
      <c r="AI12" s="235"/>
      <c r="AJ12" s="421">
        <v>0.35</v>
      </c>
      <c r="AK12" s="422"/>
      <c r="AL12" s="423"/>
      <c r="AM12" s="235"/>
      <c r="AN12" s="235"/>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row>
    <row r="13" spans="1:76" ht="10.5">
      <c r="A13" s="234"/>
      <c r="B13" s="418"/>
      <c r="C13" s="419"/>
      <c r="D13" s="419"/>
      <c r="E13" s="419"/>
      <c r="F13" s="419"/>
      <c r="G13" s="419"/>
      <c r="H13" s="419"/>
      <c r="I13" s="420"/>
      <c r="J13" s="309"/>
      <c r="K13" s="427">
        <f>10%+(VLOOKUP(R3,'ECKDAT barde'!A35:K51,3))</f>
        <v>0.25</v>
      </c>
      <c r="L13" s="428"/>
      <c r="M13" s="428"/>
      <c r="N13" s="241"/>
      <c r="O13" s="427">
        <f>VLOOKUP($A$7,'ECKDAT barde'!$A$26:$J$32,3)</f>
        <v>0.05</v>
      </c>
      <c r="P13" s="429"/>
      <c r="Q13" s="429"/>
      <c r="R13" s="242"/>
      <c r="S13" s="427">
        <f>VLOOKUP($H$5,'ECKDAT barde'!$A$4:$K$23,3)</f>
        <v>0.2</v>
      </c>
      <c r="T13" s="427"/>
      <c r="U13" s="427"/>
      <c r="V13" s="242"/>
      <c r="W13" s="427">
        <f>VLOOKUP($R$5,'ECKDAT barde'!$A$54:$J$66,3)</f>
        <v>-0.5</v>
      </c>
      <c r="X13" s="427"/>
      <c r="Y13" s="427"/>
      <c r="Z13" s="430">
        <f>VLOOKUP($R$8,'ECKDAT barde'!$A$54:$J$66,3)</f>
        <v>0.05</v>
      </c>
      <c r="AA13" s="431"/>
      <c r="AB13" s="432">
        <f>IF(AJ12+Z13&gt;=95%,95%,IF(AJ12+Z13&lt;=0%,1%,AJ12+Z13))</f>
        <v>0.39999999999999997</v>
      </c>
      <c r="AC13" s="433"/>
      <c r="AD13" s="434"/>
      <c r="AE13" s="240"/>
      <c r="AF13" s="432">
        <f>IF(AJ12+W13&gt;=95%,95%,IF(AJ12+W13&lt;=0%,1%,AJ12+W13))</f>
        <v>0.01</v>
      </c>
      <c r="AG13" s="435"/>
      <c r="AH13" s="436"/>
      <c r="AI13" s="240"/>
      <c r="AJ13" s="424"/>
      <c r="AK13" s="425"/>
      <c r="AL13" s="426"/>
      <c r="AM13" s="243"/>
      <c r="AN13" s="235"/>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row>
    <row r="14" spans="1:76" ht="10.5">
      <c r="A14" s="234"/>
      <c r="B14" s="244"/>
      <c r="C14" s="243"/>
      <c r="D14" s="243"/>
      <c r="E14" s="243"/>
      <c r="F14" s="243"/>
      <c r="G14" s="243"/>
      <c r="H14" s="243"/>
      <c r="I14" s="243"/>
      <c r="J14" s="302"/>
      <c r="K14" s="245"/>
      <c r="L14" s="246"/>
      <c r="M14" s="246"/>
      <c r="N14" s="247"/>
      <c r="O14" s="245"/>
      <c r="P14" s="248"/>
      <c r="Q14" s="248"/>
      <c r="R14" s="249"/>
      <c r="S14" s="245"/>
      <c r="T14" s="245"/>
      <c r="U14" s="245"/>
      <c r="V14" s="249"/>
      <c r="W14" s="245"/>
      <c r="X14" s="245"/>
      <c r="Y14" s="245"/>
      <c r="Z14" s="247"/>
      <c r="AA14" s="250"/>
      <c r="AB14" s="251"/>
      <c r="AC14" s="252"/>
      <c r="AD14" s="252"/>
      <c r="AE14" s="234"/>
      <c r="AF14" s="251"/>
      <c r="AG14" s="251"/>
      <c r="AH14" s="251"/>
      <c r="AI14" s="234"/>
      <c r="AJ14" s="251"/>
      <c r="AK14" s="251"/>
      <c r="AL14" s="251"/>
      <c r="AM14" s="243"/>
      <c r="AN14" s="235"/>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row>
    <row r="15" spans="1:76" ht="10.5" customHeight="1">
      <c r="A15" s="234"/>
      <c r="B15" s="415" t="str">
        <f>(IF(AJ15&lt;K16+O16,"zu Gering",IF(AJ15-O16-K16&gt;VLOOKUP($A$5,'ECKDAT barde'!$A$4:$N$23,12),"zu HOCH","GERÄUSCHE HÖREN ")))</f>
        <v>GERÄUSCHE HÖREN </v>
      </c>
      <c r="C15" s="416"/>
      <c r="D15" s="416"/>
      <c r="E15" s="416"/>
      <c r="F15" s="416"/>
      <c r="G15" s="416"/>
      <c r="H15" s="416"/>
      <c r="I15" s="417"/>
      <c r="J15" s="220"/>
      <c r="K15" s="237"/>
      <c r="L15" s="237"/>
      <c r="M15" s="237"/>
      <c r="N15" s="253"/>
      <c r="O15" s="237"/>
      <c r="P15" s="237"/>
      <c r="Q15" s="237"/>
      <c r="R15" s="237"/>
      <c r="S15" s="253"/>
      <c r="T15" s="253"/>
      <c r="U15" s="253"/>
      <c r="V15" s="237"/>
      <c r="W15" s="253"/>
      <c r="X15" s="253"/>
      <c r="Y15" s="253"/>
      <c r="Z15" s="253"/>
      <c r="AA15" s="219"/>
      <c r="AB15" s="251"/>
      <c r="AC15" s="251"/>
      <c r="AD15" s="251"/>
      <c r="AE15" s="235"/>
      <c r="AF15" s="254"/>
      <c r="AG15" s="254"/>
      <c r="AH15" s="254"/>
      <c r="AI15" s="235"/>
      <c r="AJ15" s="421">
        <v>0.3</v>
      </c>
      <c r="AK15" s="422"/>
      <c r="AL15" s="423"/>
      <c r="AM15" s="235"/>
      <c r="AN15" s="235"/>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row>
    <row r="16" spans="1:76" ht="10.5">
      <c r="A16" s="234"/>
      <c r="B16" s="418"/>
      <c r="C16" s="419"/>
      <c r="D16" s="419"/>
      <c r="E16" s="419"/>
      <c r="F16" s="419"/>
      <c r="G16" s="419"/>
      <c r="H16" s="419"/>
      <c r="I16" s="420"/>
      <c r="J16" s="309"/>
      <c r="K16" s="427">
        <f>20%++(VLOOKUP(R3,'ECKDAT barde'!A35:K51,8))</f>
        <v>0.2</v>
      </c>
      <c r="L16" s="428"/>
      <c r="M16" s="428"/>
      <c r="N16" s="241"/>
      <c r="O16" s="427">
        <f>VLOOKUP($A$7,'ECKDAT barde'!$A$26:$J$32,8)</f>
        <v>0.05</v>
      </c>
      <c r="P16" s="429"/>
      <c r="Q16" s="429"/>
      <c r="R16" s="242"/>
      <c r="S16" s="427">
        <f>VLOOKUP($H$5,'ECKDAT barde'!$A$4:$K$23,8)</f>
        <v>0.2</v>
      </c>
      <c r="T16" s="427"/>
      <c r="U16" s="427"/>
      <c r="V16" s="242"/>
      <c r="W16" s="427">
        <f>VLOOKUP($R$5,'ECKDAT barde'!$A$54:$J$66,8)</f>
        <v>-0.3</v>
      </c>
      <c r="X16" s="427"/>
      <c r="Y16" s="427"/>
      <c r="Z16" s="430">
        <f>VLOOKUP($R$8,'ECKDAT barde'!$A$54:$J$66,8)</f>
        <v>0</v>
      </c>
      <c r="AA16" s="431"/>
      <c r="AB16" s="432">
        <f>IF(AJ15+Z16&gt;=95%,95%,IF(AJ15+Z16&lt;=0%,1%,AJ15+Z16))</f>
        <v>0.3</v>
      </c>
      <c r="AC16" s="433"/>
      <c r="AD16" s="434"/>
      <c r="AE16" s="240"/>
      <c r="AF16" s="432">
        <f>IF(AJ15+W16&gt;=95%,95%,IF(AJ15+W16&lt;=0%,1%,AJ15+W16))</f>
        <v>0.01</v>
      </c>
      <c r="AG16" s="435"/>
      <c r="AH16" s="436"/>
      <c r="AI16" s="240"/>
      <c r="AJ16" s="424"/>
      <c r="AK16" s="425"/>
      <c r="AL16" s="426"/>
      <c r="AM16" s="243"/>
      <c r="AN16" s="235"/>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row>
    <row r="17" spans="1:76" ht="10.5">
      <c r="A17" s="234"/>
      <c r="B17" s="244"/>
      <c r="C17" s="243"/>
      <c r="D17" s="243"/>
      <c r="E17" s="243"/>
      <c r="F17" s="243"/>
      <c r="G17" s="243"/>
      <c r="H17" s="243"/>
      <c r="I17" s="243"/>
      <c r="J17" s="302"/>
      <c r="K17" s="245"/>
      <c r="L17" s="246"/>
      <c r="M17" s="246"/>
      <c r="N17" s="247"/>
      <c r="O17" s="245"/>
      <c r="P17" s="248"/>
      <c r="Q17" s="248"/>
      <c r="R17" s="249"/>
      <c r="S17" s="245"/>
      <c r="T17" s="245"/>
      <c r="U17" s="245"/>
      <c r="V17" s="249"/>
      <c r="W17" s="245"/>
      <c r="X17" s="245"/>
      <c r="Y17" s="245"/>
      <c r="Z17" s="247"/>
      <c r="AA17" s="250"/>
      <c r="AB17" s="251"/>
      <c r="AC17" s="252"/>
      <c r="AD17" s="252"/>
      <c r="AE17" s="234"/>
      <c r="AF17" s="251"/>
      <c r="AG17" s="251"/>
      <c r="AH17" s="251"/>
      <c r="AI17" s="234"/>
      <c r="AJ17" s="251"/>
      <c r="AK17" s="251"/>
      <c r="AL17" s="251"/>
      <c r="AM17" s="243"/>
      <c r="AN17" s="235"/>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row>
    <row r="18" spans="1:76" ht="10.5" customHeight="1">
      <c r="A18" s="234"/>
      <c r="B18" s="415" t="str">
        <f>(IF(AJ18&lt;K19+O19,"zu Gering",IF(AJ18-O19-K19&gt;VLOOKUP($A$5,'ECKDAT dieb'!$A$4:$N$23,12),"zu HOCH","WÄNDE ERKLIMMEN ")))</f>
        <v>WÄNDE ERKLIMMEN </v>
      </c>
      <c r="C18" s="416"/>
      <c r="D18" s="416"/>
      <c r="E18" s="416"/>
      <c r="F18" s="416"/>
      <c r="G18" s="416"/>
      <c r="H18" s="416"/>
      <c r="I18" s="417"/>
      <c r="J18" s="220"/>
      <c r="K18" s="237"/>
      <c r="L18" s="237"/>
      <c r="M18" s="237"/>
      <c r="N18" s="253"/>
      <c r="O18" s="237"/>
      <c r="P18" s="237"/>
      <c r="Q18" s="237"/>
      <c r="R18" s="237"/>
      <c r="S18" s="253"/>
      <c r="T18" s="253"/>
      <c r="U18" s="253"/>
      <c r="V18" s="237"/>
      <c r="W18" s="253"/>
      <c r="X18" s="253"/>
      <c r="Y18" s="253"/>
      <c r="Z18" s="247"/>
      <c r="AA18" s="250"/>
      <c r="AB18" s="251"/>
      <c r="AC18" s="251"/>
      <c r="AD18" s="251"/>
      <c r="AE18" s="235"/>
      <c r="AF18" s="254"/>
      <c r="AG18" s="254"/>
      <c r="AH18" s="254"/>
      <c r="AI18" s="235"/>
      <c r="AJ18" s="421">
        <v>0.5</v>
      </c>
      <c r="AK18" s="422"/>
      <c r="AL18" s="423"/>
      <c r="AM18" s="235"/>
      <c r="AN18" s="235"/>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row>
    <row r="19" spans="1:76" ht="10.5">
      <c r="A19" s="234"/>
      <c r="B19" s="418"/>
      <c r="C19" s="419"/>
      <c r="D19" s="419"/>
      <c r="E19" s="419"/>
      <c r="F19" s="419"/>
      <c r="G19" s="419"/>
      <c r="H19" s="419"/>
      <c r="I19" s="420"/>
      <c r="J19" s="309"/>
      <c r="K19" s="427">
        <f>50%+(VLOOKUP(R3,'ECKDAT barde'!A35:K51,9))</f>
        <v>0.5</v>
      </c>
      <c r="L19" s="428"/>
      <c r="M19" s="428"/>
      <c r="N19" s="241"/>
      <c r="O19" s="427">
        <f>VLOOKUP($A$7,'ECKDAT barde'!$A$26:$J$32,9)</f>
        <v>0</v>
      </c>
      <c r="P19" s="429"/>
      <c r="Q19" s="429"/>
      <c r="R19" s="242"/>
      <c r="S19" s="427">
        <f>VLOOKUP($H$5,'ECKDAT barde'!$A$4:$K$23,9)</f>
        <v>0.2</v>
      </c>
      <c r="T19" s="427"/>
      <c r="U19" s="427"/>
      <c r="V19" s="242"/>
      <c r="W19" s="427">
        <f>VLOOKUP($R$5,'ECKDAT barde'!$A$54:$J$66,9)</f>
        <v>-0.9</v>
      </c>
      <c r="X19" s="427"/>
      <c r="Y19" s="427"/>
      <c r="Z19" s="430">
        <f>VLOOKUP($R$8,'ECKDAT barde'!$A$54:$J$66,9)</f>
        <v>0.1</v>
      </c>
      <c r="AA19" s="431"/>
      <c r="AB19" s="432">
        <f>IF(AJ18+Z19&gt;=95%,95%,IF(AJ18+Z19&lt;=0%,1%,AJ18+Z19))</f>
        <v>0.6</v>
      </c>
      <c r="AC19" s="433"/>
      <c r="AD19" s="434"/>
      <c r="AE19" s="240"/>
      <c r="AF19" s="432">
        <f>IF(AJ18+W19&gt;=95%,95%,IF(AJ18+W19&lt;=0%,1%,AJ18+W19))</f>
        <v>0.01</v>
      </c>
      <c r="AG19" s="435"/>
      <c r="AH19" s="436"/>
      <c r="AI19" s="240"/>
      <c r="AJ19" s="424"/>
      <c r="AK19" s="425"/>
      <c r="AL19" s="426"/>
      <c r="AM19" s="243"/>
      <c r="AN19" s="235"/>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row>
    <row r="20" spans="1:76" ht="10.5">
      <c r="A20" s="234"/>
      <c r="B20" s="244"/>
      <c r="C20" s="243"/>
      <c r="D20" s="243"/>
      <c r="E20" s="243"/>
      <c r="F20" s="243"/>
      <c r="G20" s="243"/>
      <c r="H20" s="243"/>
      <c r="I20" s="243"/>
      <c r="J20" s="302"/>
      <c r="K20" s="245"/>
      <c r="L20" s="246"/>
      <c r="M20" s="246"/>
      <c r="N20" s="247"/>
      <c r="O20" s="245"/>
      <c r="P20" s="248"/>
      <c r="Q20" s="248"/>
      <c r="R20" s="249"/>
      <c r="S20" s="245"/>
      <c r="T20" s="245"/>
      <c r="U20" s="245"/>
      <c r="V20" s="249"/>
      <c r="W20" s="245"/>
      <c r="X20" s="245"/>
      <c r="Y20" s="245"/>
      <c r="Z20" s="247"/>
      <c r="AA20" s="250"/>
      <c r="AB20" s="251"/>
      <c r="AC20" s="252"/>
      <c r="AD20" s="252"/>
      <c r="AE20" s="234"/>
      <c r="AF20" s="251"/>
      <c r="AG20" s="251"/>
      <c r="AH20" s="251"/>
      <c r="AI20" s="234"/>
      <c r="AJ20" s="251"/>
      <c r="AK20" s="251"/>
      <c r="AL20" s="251"/>
      <c r="AM20" s="243"/>
      <c r="AN20" s="235"/>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row>
    <row r="21" spans="1:76" ht="10.5" customHeight="1">
      <c r="A21" s="234"/>
      <c r="B21" s="415" t="str">
        <f>(IF(AJ21&lt;K22+O22,"zu Gering",IF(AJ21-O22-K22&gt;VLOOKUP($A$5,'ECKDAT dieb'!$A$4:$N$23,12),"zu HOCH","SPRACHE VERSTEHEN/ LESEN ")))</f>
        <v>SPRACHE VERSTEHEN/ LESEN </v>
      </c>
      <c r="C21" s="416"/>
      <c r="D21" s="416"/>
      <c r="E21" s="416"/>
      <c r="F21" s="416"/>
      <c r="G21" s="416"/>
      <c r="H21" s="416"/>
      <c r="I21" s="417"/>
      <c r="J21" s="220"/>
      <c r="K21" s="237"/>
      <c r="L21" s="237"/>
      <c r="M21" s="237"/>
      <c r="N21" s="253"/>
      <c r="O21" s="237"/>
      <c r="P21" s="237"/>
      <c r="Q21" s="237"/>
      <c r="R21" s="237"/>
      <c r="S21" s="253"/>
      <c r="T21" s="253"/>
      <c r="U21" s="253"/>
      <c r="V21" s="237"/>
      <c r="W21" s="253"/>
      <c r="X21" s="253"/>
      <c r="Y21" s="253"/>
      <c r="Z21" s="247"/>
      <c r="AA21" s="250"/>
      <c r="AB21" s="251"/>
      <c r="AC21" s="251"/>
      <c r="AD21" s="251"/>
      <c r="AE21" s="235"/>
      <c r="AF21" s="254"/>
      <c r="AG21" s="254"/>
      <c r="AH21" s="254"/>
      <c r="AI21" s="235"/>
      <c r="AJ21" s="421">
        <v>0.05</v>
      </c>
      <c r="AK21" s="422"/>
      <c r="AL21" s="423"/>
      <c r="AM21" s="235"/>
      <c r="AN21" s="235"/>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row>
    <row r="22" spans="1:76" ht="10.5">
      <c r="A22" s="234"/>
      <c r="B22" s="418"/>
      <c r="C22" s="419"/>
      <c r="D22" s="419"/>
      <c r="E22" s="419"/>
      <c r="F22" s="419"/>
      <c r="G22" s="419"/>
      <c r="H22" s="419"/>
      <c r="I22" s="420"/>
      <c r="J22" s="309"/>
      <c r="K22" s="427">
        <f>5%+(VLOOKUP(R3,'ECKDAT barde'!A35:K51,10))</f>
        <v>0.05</v>
      </c>
      <c r="L22" s="428"/>
      <c r="M22" s="428"/>
      <c r="N22" s="241"/>
      <c r="O22" s="427">
        <f>VLOOKUP($A$7,'ECKDAT barde'!$A$26:$J$32,10)</f>
        <v>0</v>
      </c>
      <c r="P22" s="429"/>
      <c r="Q22" s="429"/>
      <c r="R22" s="242"/>
      <c r="S22" s="427">
        <f>VLOOKUP($H$5,'ECKDAT barde'!$A$4:$K$23,10)</f>
        <v>0.2</v>
      </c>
      <c r="T22" s="427"/>
      <c r="U22" s="427"/>
      <c r="V22" s="242"/>
      <c r="W22" s="427">
        <f>VLOOKUP($R$5,'ECKDAT barde'!$A$54:$J$66,10)</f>
        <v>0</v>
      </c>
      <c r="X22" s="427"/>
      <c r="Y22" s="427"/>
      <c r="Z22" s="430">
        <f>VLOOKUP($R$8,'ECKDAT barde'!$A$54:$J$66,10)</f>
        <v>0</v>
      </c>
      <c r="AA22" s="431"/>
      <c r="AB22" s="432">
        <f>AJ21</f>
        <v>0.05</v>
      </c>
      <c r="AC22" s="433"/>
      <c r="AD22" s="434"/>
      <c r="AE22" s="240"/>
      <c r="AF22" s="432">
        <f>AJ21</f>
        <v>0.05</v>
      </c>
      <c r="AG22" s="435"/>
      <c r="AH22" s="436"/>
      <c r="AI22" s="240"/>
      <c r="AJ22" s="424"/>
      <c r="AK22" s="425"/>
      <c r="AL22" s="426"/>
      <c r="AM22" s="243"/>
      <c r="AN22" s="235"/>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row>
    <row r="23" spans="1:76" ht="3.75" customHeight="1">
      <c r="A23" s="234"/>
      <c r="B23" s="234"/>
      <c r="C23" s="234"/>
      <c r="D23" s="234"/>
      <c r="E23" s="234"/>
      <c r="F23" s="234"/>
      <c r="G23" s="234"/>
      <c r="H23" s="234"/>
      <c r="I23" s="234"/>
      <c r="J23" s="234"/>
      <c r="K23" s="406"/>
      <c r="L23" s="406"/>
      <c r="M23" s="406"/>
      <c r="N23" s="234"/>
      <c r="O23" s="404"/>
      <c r="P23" s="404"/>
      <c r="Q23" s="404"/>
      <c r="R23" s="234"/>
      <c r="S23" s="405"/>
      <c r="T23" s="405"/>
      <c r="U23" s="405"/>
      <c r="V23" s="234"/>
      <c r="W23" s="404"/>
      <c r="X23" s="404"/>
      <c r="Y23" s="404"/>
      <c r="Z23" s="234"/>
      <c r="AA23" s="234"/>
      <c r="AB23" s="220"/>
      <c r="AC23" s="220"/>
      <c r="AD23" s="220"/>
      <c r="AE23" s="220"/>
      <c r="AF23" s="220"/>
      <c r="AG23" s="220"/>
      <c r="AH23" s="234"/>
      <c r="AI23" s="234"/>
      <c r="AJ23" s="407">
        <f>SUM(AJ12:AL22)</f>
        <v>1.2</v>
      </c>
      <c r="AK23" s="407"/>
      <c r="AL23" s="407"/>
      <c r="AM23" s="235"/>
      <c r="AN23" s="235"/>
      <c r="AO23" s="68"/>
      <c r="AP23" s="68"/>
      <c r="AQ23" s="68"/>
      <c r="AR23" s="68"/>
      <c r="AS23" s="68"/>
      <c r="AT23" s="68"/>
      <c r="AU23" s="68"/>
      <c r="AV23" s="68"/>
      <c r="AW23" s="68"/>
      <c r="AX23" s="68"/>
      <c r="AY23" s="68"/>
      <c r="AZ23" s="68"/>
      <c r="BA23" s="68"/>
      <c r="BB23" s="68"/>
      <c r="BC23" s="178"/>
      <c r="BD23" s="180"/>
      <c r="BE23" s="180"/>
      <c r="BF23" s="68"/>
      <c r="BG23" s="68"/>
      <c r="BH23" s="68"/>
      <c r="BI23" s="68"/>
      <c r="BJ23" s="68"/>
      <c r="BK23" s="68"/>
      <c r="BL23" s="68"/>
      <c r="BM23" s="68"/>
      <c r="BN23" s="68"/>
      <c r="BO23" s="68"/>
      <c r="BP23" s="68"/>
      <c r="BQ23" s="68"/>
      <c r="BR23" s="68"/>
      <c r="BS23" s="68"/>
      <c r="BT23" s="68"/>
      <c r="BU23" s="68"/>
      <c r="BV23" s="68"/>
      <c r="BW23" s="68"/>
      <c r="BX23" s="68"/>
    </row>
    <row r="24" spans="1:76" ht="10.5">
      <c r="A24" s="234"/>
      <c r="B24" s="234"/>
      <c r="C24" s="234"/>
      <c r="D24" s="234"/>
      <c r="E24" s="234"/>
      <c r="F24" s="234"/>
      <c r="G24" s="234"/>
      <c r="H24" s="234"/>
      <c r="I24" s="234"/>
      <c r="J24" s="234"/>
      <c r="K24" s="411">
        <f>SUM(K13:M22)</f>
        <v>1</v>
      </c>
      <c r="L24" s="408"/>
      <c r="M24" s="408"/>
      <c r="N24" s="220"/>
      <c r="O24" s="411">
        <f>SUM(O13:Q22)</f>
        <v>0.1</v>
      </c>
      <c r="P24" s="408"/>
      <c r="Q24" s="408"/>
      <c r="R24" s="220"/>
      <c r="S24" s="411">
        <f>SUM(S13:U22)</f>
        <v>0.8</v>
      </c>
      <c r="T24" s="408"/>
      <c r="U24" s="408"/>
      <c r="V24" s="220"/>
      <c r="W24" s="411">
        <f>SUM(W13:Y22)</f>
        <v>-1.7000000000000002</v>
      </c>
      <c r="X24" s="408"/>
      <c r="Y24" s="408"/>
      <c r="Z24" s="408"/>
      <c r="AA24" s="408"/>
      <c r="AB24" s="220"/>
      <c r="AC24" s="220"/>
      <c r="AD24" s="220"/>
      <c r="AE24" s="220"/>
      <c r="AF24" s="220"/>
      <c r="AG24" s="220"/>
      <c r="AH24" s="234"/>
      <c r="AI24" s="234"/>
      <c r="AJ24" s="414" t="str">
        <f>IF(VLOOKUP(A5,'ECKDAT barde'!A4:N23,12)=AJ23-K24-P24," ",-(AJ23-O24-K24-VLOOKUP(A5,'ECKDAT barde'!A4:N23,12)))</f>
        <v> </v>
      </c>
      <c r="AK24" s="414"/>
      <c r="AL24" s="414"/>
      <c r="AM24" s="235"/>
      <c r="AN24" s="235"/>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row>
    <row r="25" spans="11:76" ht="10.5">
      <c r="K25" s="176"/>
      <c r="L25" s="155"/>
      <c r="M25" s="155"/>
      <c r="N25" s="155"/>
      <c r="O25" s="176"/>
      <c r="P25" s="155"/>
      <c r="Q25" s="155"/>
      <c r="R25" s="155"/>
      <c r="S25" s="176"/>
      <c r="T25" s="155"/>
      <c r="U25" s="155"/>
      <c r="V25" s="155"/>
      <c r="W25" s="176"/>
      <c r="X25" s="155"/>
      <c r="Y25" s="155"/>
      <c r="Z25" s="155"/>
      <c r="AA25" s="155"/>
      <c r="AB25" s="155"/>
      <c r="AC25" s="155"/>
      <c r="AD25" s="155"/>
      <c r="AE25" s="155"/>
      <c r="AF25" s="155"/>
      <c r="AG25" s="155"/>
      <c r="AJ25" s="207"/>
      <c r="AK25" s="207"/>
      <c r="AL25" s="207"/>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row>
    <row r="26" spans="11:76" ht="10.5">
      <c r="K26" s="388" t="s">
        <v>3</v>
      </c>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0"/>
      <c r="AL26" s="400"/>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row>
    <row r="27" spans="2:76" ht="12" customHeight="1">
      <c r="B27" s="389" t="s">
        <v>2056</v>
      </c>
      <c r="C27" s="412"/>
      <c r="D27" s="412"/>
      <c r="E27" s="412"/>
      <c r="F27" s="412"/>
      <c r="G27" s="412"/>
      <c r="H27" s="412"/>
      <c r="I27" s="412"/>
      <c r="J27" s="68"/>
      <c r="K27" s="400"/>
      <c r="L27" s="400"/>
      <c r="M27" s="400"/>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c r="AK27" s="400"/>
      <c r="AL27" s="400"/>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row>
    <row r="28" spans="2:76" ht="12" customHeight="1">
      <c r="B28" s="413"/>
      <c r="C28" s="413"/>
      <c r="D28" s="413"/>
      <c r="E28" s="413"/>
      <c r="F28" s="413"/>
      <c r="G28" s="413"/>
      <c r="H28" s="413"/>
      <c r="I28" s="413"/>
      <c r="J28" s="175"/>
      <c r="K28" s="400"/>
      <c r="L28" s="400"/>
      <c r="M28" s="400"/>
      <c r="N28" s="400"/>
      <c r="O28" s="400"/>
      <c r="P28" s="400"/>
      <c r="Q28" s="400"/>
      <c r="R28" s="400"/>
      <c r="S28" s="400"/>
      <c r="T28" s="400"/>
      <c r="U28" s="400"/>
      <c r="V28" s="400"/>
      <c r="W28" s="400"/>
      <c r="X28" s="400"/>
      <c r="Y28" s="400"/>
      <c r="Z28" s="400"/>
      <c r="AA28" s="400"/>
      <c r="AB28" s="400"/>
      <c r="AC28" s="400"/>
      <c r="AD28" s="400"/>
      <c r="AE28" s="400"/>
      <c r="AF28" s="400"/>
      <c r="AG28" s="400"/>
      <c r="AH28" s="400"/>
      <c r="AI28" s="400"/>
      <c r="AJ28" s="400"/>
      <c r="AK28" s="400"/>
      <c r="AL28" s="400"/>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row>
    <row r="29" spans="2:76" ht="12" customHeight="1">
      <c r="B29" s="12"/>
      <c r="C29" s="12"/>
      <c r="D29" s="12"/>
      <c r="E29" s="12"/>
      <c r="F29" s="12"/>
      <c r="G29" s="12"/>
      <c r="H29" s="12"/>
      <c r="I29" s="12"/>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row>
    <row r="30" spans="2:76" ht="12" customHeight="1">
      <c r="B30" s="389" t="s">
        <v>2061</v>
      </c>
      <c r="C30" s="412"/>
      <c r="D30" s="412"/>
      <c r="E30" s="412"/>
      <c r="F30" s="412"/>
      <c r="G30" s="412"/>
      <c r="H30" s="412"/>
      <c r="I30" s="412"/>
      <c r="J30" s="68"/>
      <c r="K30" s="388" t="s">
        <v>0</v>
      </c>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c r="AI30" s="388"/>
      <c r="AJ30" s="388"/>
      <c r="AK30" s="388"/>
      <c r="AL30" s="38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row>
    <row r="31" spans="2:76" ht="12" customHeight="1">
      <c r="B31" s="413"/>
      <c r="C31" s="413"/>
      <c r="D31" s="413"/>
      <c r="E31" s="413"/>
      <c r="F31" s="413"/>
      <c r="G31" s="413"/>
      <c r="H31" s="413"/>
      <c r="I31" s="413"/>
      <c r="J31" s="175"/>
      <c r="K31" s="388"/>
      <c r="L31" s="388"/>
      <c r="M31" s="388"/>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8"/>
      <c r="AK31" s="388"/>
      <c r="AL31" s="38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row>
    <row r="32" spans="2:76" ht="12" customHeight="1">
      <c r="B32" s="12"/>
      <c r="C32" s="12"/>
      <c r="D32" s="12"/>
      <c r="E32" s="12"/>
      <c r="F32" s="12"/>
      <c r="G32" s="12"/>
      <c r="H32" s="12"/>
      <c r="I32" s="12"/>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row>
    <row r="33" spans="2:76" ht="12" customHeight="1">
      <c r="B33" s="389" t="s">
        <v>2062</v>
      </c>
      <c r="C33" s="412"/>
      <c r="D33" s="412"/>
      <c r="E33" s="412"/>
      <c r="F33" s="412"/>
      <c r="G33" s="412"/>
      <c r="H33" s="412"/>
      <c r="I33" s="412"/>
      <c r="J33" s="68"/>
      <c r="K33" s="388" t="s">
        <v>4</v>
      </c>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388"/>
      <c r="AI33" s="388"/>
      <c r="AJ33" s="388"/>
      <c r="AK33" s="388"/>
      <c r="AL33" s="38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row>
    <row r="34" spans="2:76" ht="12" customHeight="1">
      <c r="B34" s="413"/>
      <c r="C34" s="413"/>
      <c r="D34" s="413"/>
      <c r="E34" s="413"/>
      <c r="F34" s="413"/>
      <c r="G34" s="413"/>
      <c r="H34" s="413"/>
      <c r="I34" s="413"/>
      <c r="J34" s="175"/>
      <c r="K34" s="388"/>
      <c r="L34" s="388"/>
      <c r="M34" s="388"/>
      <c r="N34" s="388"/>
      <c r="O34" s="388"/>
      <c r="P34" s="388"/>
      <c r="Q34" s="388"/>
      <c r="R34" s="388"/>
      <c r="S34" s="388"/>
      <c r="T34" s="388"/>
      <c r="U34" s="388"/>
      <c r="V34" s="388"/>
      <c r="W34" s="388"/>
      <c r="X34" s="388"/>
      <c r="Y34" s="388"/>
      <c r="Z34" s="388"/>
      <c r="AA34" s="388"/>
      <c r="AB34" s="388"/>
      <c r="AC34" s="388"/>
      <c r="AD34" s="388"/>
      <c r="AE34" s="388"/>
      <c r="AF34" s="388"/>
      <c r="AG34" s="388"/>
      <c r="AH34" s="388"/>
      <c r="AI34" s="388"/>
      <c r="AJ34" s="388"/>
      <c r="AK34" s="388"/>
      <c r="AL34" s="38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row>
    <row r="35" spans="2:76" ht="12" customHeight="1">
      <c r="B35" s="12"/>
      <c r="C35" s="12"/>
      <c r="D35" s="12"/>
      <c r="E35" s="12"/>
      <c r="F35" s="12"/>
      <c r="G35" s="12"/>
      <c r="H35" s="12"/>
      <c r="I35" s="12"/>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row>
    <row r="36" spans="2:76" ht="12" customHeight="1">
      <c r="B36" s="389" t="s">
        <v>2091</v>
      </c>
      <c r="C36" s="412"/>
      <c r="D36" s="412"/>
      <c r="E36" s="412"/>
      <c r="F36" s="412"/>
      <c r="G36" s="412"/>
      <c r="H36" s="412"/>
      <c r="I36" s="412"/>
      <c r="J36" s="68"/>
      <c r="K36" s="388" t="s">
        <v>2098</v>
      </c>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8"/>
      <c r="AK36" s="388"/>
      <c r="AL36" s="38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row>
    <row r="37" spans="2:76" ht="12" customHeight="1">
      <c r="B37" s="413"/>
      <c r="C37" s="413"/>
      <c r="D37" s="413"/>
      <c r="E37" s="413"/>
      <c r="F37" s="413"/>
      <c r="G37" s="413"/>
      <c r="H37" s="413"/>
      <c r="I37" s="413"/>
      <c r="J37" s="175"/>
      <c r="K37" s="388"/>
      <c r="L37" s="388"/>
      <c r="M37" s="388"/>
      <c r="N37" s="388"/>
      <c r="O37" s="388"/>
      <c r="P37" s="388"/>
      <c r="Q37" s="388"/>
      <c r="R37" s="388"/>
      <c r="S37" s="388"/>
      <c r="T37" s="388"/>
      <c r="U37" s="388"/>
      <c r="V37" s="388"/>
      <c r="W37" s="388"/>
      <c r="X37" s="388"/>
      <c r="Y37" s="388"/>
      <c r="Z37" s="388"/>
      <c r="AA37" s="388"/>
      <c r="AB37" s="388"/>
      <c r="AC37" s="388"/>
      <c r="AD37" s="388"/>
      <c r="AE37" s="388"/>
      <c r="AF37" s="388"/>
      <c r="AG37" s="388"/>
      <c r="AH37" s="388"/>
      <c r="AI37" s="388"/>
      <c r="AJ37" s="388"/>
      <c r="AK37" s="388"/>
      <c r="AL37" s="38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row>
    <row r="38" spans="39:76" ht="12" customHeight="1">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row>
    <row r="39" spans="2:76" ht="12" customHeight="1">
      <c r="B39"/>
      <c r="C39"/>
      <c r="D39"/>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row>
    <row r="40" spans="2:76" ht="12" customHeight="1">
      <c r="B40"/>
      <c r="C40"/>
      <c r="D40"/>
      <c r="E40" s="202"/>
      <c r="AI40" s="202"/>
      <c r="AJ40" s="202"/>
      <c r="AK40" s="202"/>
      <c r="AL40" s="202"/>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row>
    <row r="41" spans="2:76" ht="12" customHeight="1">
      <c r="B41" s="210"/>
      <c r="C41" s="200"/>
      <c r="D41" s="200"/>
      <c r="E41" s="68"/>
      <c r="F41" s="409" t="s">
        <v>2597</v>
      </c>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345"/>
      <c r="AJ41" s="346"/>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row>
    <row r="42" spans="2:76" ht="3" customHeight="1">
      <c r="B42" s="211"/>
      <c r="C42"/>
      <c r="D42"/>
      <c r="E42" s="202"/>
      <c r="F42" s="226"/>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5"/>
      <c r="AJ42" s="122"/>
      <c r="AK42" s="202"/>
      <c r="AL42" s="202"/>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row>
    <row r="43" spans="2:76" ht="12" customHeight="1">
      <c r="B43" s="211"/>
      <c r="C43"/>
      <c r="D43"/>
      <c r="E43" s="10"/>
      <c r="F43" s="226"/>
      <c r="G43" s="392" t="s">
        <v>1903</v>
      </c>
      <c r="H43" s="393"/>
      <c r="I43" s="393"/>
      <c r="J43" s="394"/>
      <c r="K43" s="260"/>
      <c r="L43" s="392" t="s">
        <v>1904</v>
      </c>
      <c r="M43" s="393"/>
      <c r="N43" s="393"/>
      <c r="O43" s="394"/>
      <c r="P43" s="260"/>
      <c r="Q43" s="392" t="s">
        <v>1905</v>
      </c>
      <c r="R43" s="393"/>
      <c r="S43" s="393"/>
      <c r="T43" s="394"/>
      <c r="U43" s="260"/>
      <c r="V43" s="392" t="s">
        <v>1906</v>
      </c>
      <c r="W43" s="393"/>
      <c r="X43" s="393"/>
      <c r="Y43" s="394"/>
      <c r="Z43" s="260"/>
      <c r="AA43" s="392" t="s">
        <v>1907</v>
      </c>
      <c r="AB43" s="393"/>
      <c r="AC43" s="393"/>
      <c r="AD43" s="394"/>
      <c r="AE43" s="260"/>
      <c r="AF43" s="392" t="s">
        <v>1908</v>
      </c>
      <c r="AG43" s="393"/>
      <c r="AH43" s="393"/>
      <c r="AI43" s="394"/>
      <c r="AJ43" s="229"/>
      <c r="AK43" s="10"/>
      <c r="AL43" s="10"/>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8"/>
      <c r="BU43" s="68"/>
      <c r="BV43" s="68"/>
      <c r="BW43" s="68"/>
      <c r="BX43" s="68"/>
    </row>
    <row r="44" spans="2:76" ht="3" customHeight="1">
      <c r="B44" s="210"/>
      <c r="C44" s="200"/>
      <c r="D44" s="200"/>
      <c r="E44" s="68"/>
      <c r="F44" s="226"/>
      <c r="G44" s="230"/>
      <c r="H44" s="65"/>
      <c r="I44" s="68"/>
      <c r="J44" s="225"/>
      <c r="K44" s="68"/>
      <c r="L44" s="226"/>
      <c r="M44" s="68"/>
      <c r="N44" s="68"/>
      <c r="O44" s="225"/>
      <c r="P44" s="68"/>
      <c r="Q44" s="226"/>
      <c r="R44" s="68"/>
      <c r="S44" s="68"/>
      <c r="T44" s="225"/>
      <c r="U44" s="68"/>
      <c r="V44" s="226"/>
      <c r="W44" s="68"/>
      <c r="X44" s="65"/>
      <c r="Y44" s="122"/>
      <c r="Z44" s="65"/>
      <c r="AA44" s="230"/>
      <c r="AB44" s="65"/>
      <c r="AC44" s="65"/>
      <c r="AD44" s="122"/>
      <c r="AE44" s="65"/>
      <c r="AF44" s="230"/>
      <c r="AG44" s="65"/>
      <c r="AH44" s="65"/>
      <c r="AI44" s="122"/>
      <c r="AJ44" s="225"/>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row>
    <row r="45" spans="2:76" ht="12" customHeight="1">
      <c r="B45"/>
      <c r="C45"/>
      <c r="D45"/>
      <c r="E45" s="10"/>
      <c r="F45" s="226"/>
      <c r="G45" s="395" t="str">
        <f>IF(VLOOKUP(A5,'ECKDAT barde'!A84:G103,2)=0," ",VLOOKUP(A5,'ECKDAT barde'!A84:G103,2))</f>
        <v> </v>
      </c>
      <c r="H45" s="396"/>
      <c r="I45" s="396"/>
      <c r="J45" s="397"/>
      <c r="K45" s="154"/>
      <c r="L45" s="395" t="str">
        <f>IF(VLOOKUP(A5,'ECKDAT barde'!A84:G103,3)=0," ",VLOOKUP(A5,'ECKDAT barde'!A84:G103,3))</f>
        <v> </v>
      </c>
      <c r="M45" s="396"/>
      <c r="N45" s="396"/>
      <c r="O45" s="397"/>
      <c r="P45" s="154"/>
      <c r="Q45" s="395" t="str">
        <f>IF(VLOOKUP(A5,'ECKDAT barde'!A84:G103,4)=0," ",VLOOKUP(A5,'ECKDAT barde'!A84:G103,4))</f>
        <v> </v>
      </c>
      <c r="R45" s="396"/>
      <c r="S45" s="396"/>
      <c r="T45" s="397"/>
      <c r="U45" s="154"/>
      <c r="V45" s="395" t="str">
        <f>IF(VLOOKUP(A5,'ECKDAT barde'!A84:G103,5)=0," ",VLOOKUP(A5,'ECKDAT barde'!A84:G103,5))</f>
        <v> </v>
      </c>
      <c r="W45" s="396"/>
      <c r="X45" s="396"/>
      <c r="Y45" s="397"/>
      <c r="Z45" s="154"/>
      <c r="AA45" s="395" t="str">
        <f>IF(VLOOKUP(A5,'ECKDAT barde'!A84:G103,6)=0," ",VLOOKUP(A5,'ECKDAT barde'!A84:G103,6))</f>
        <v> </v>
      </c>
      <c r="AB45" s="396"/>
      <c r="AC45" s="396"/>
      <c r="AD45" s="397"/>
      <c r="AE45" s="154"/>
      <c r="AF45" s="395" t="str">
        <f>IF(VLOOKUP(A5,'ECKDAT barde'!A84:G103,7)=0," ",VLOOKUP(A5,'ECKDAT barde'!A84:G103,7))</f>
        <v> </v>
      </c>
      <c r="AG45" s="396"/>
      <c r="AH45" s="396"/>
      <c r="AI45" s="397"/>
      <c r="AJ45" s="229"/>
      <c r="AK45" s="10"/>
      <c r="AL45" s="10"/>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8"/>
      <c r="BX45" s="68"/>
    </row>
    <row r="46" spans="5:76" ht="3" customHeight="1">
      <c r="E46" s="68"/>
      <c r="F46" s="226"/>
      <c r="G46" s="231"/>
      <c r="H46" s="117"/>
      <c r="I46" s="175"/>
      <c r="J46" s="179"/>
      <c r="K46" s="68"/>
      <c r="L46" s="227"/>
      <c r="M46" s="175"/>
      <c r="N46" s="175"/>
      <c r="O46" s="179"/>
      <c r="P46" s="68"/>
      <c r="Q46" s="227"/>
      <c r="R46" s="175"/>
      <c r="S46" s="175"/>
      <c r="T46" s="179"/>
      <c r="U46" s="68"/>
      <c r="V46" s="227"/>
      <c r="W46" s="175"/>
      <c r="X46" s="117"/>
      <c r="Y46" s="232"/>
      <c r="Z46" s="65"/>
      <c r="AA46" s="231"/>
      <c r="AB46" s="117"/>
      <c r="AC46" s="117"/>
      <c r="AD46" s="232"/>
      <c r="AE46" s="65"/>
      <c r="AF46" s="231"/>
      <c r="AG46" s="117"/>
      <c r="AH46" s="117"/>
      <c r="AI46" s="232"/>
      <c r="AJ46" s="225"/>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184"/>
      <c r="BT46" s="68"/>
      <c r="BU46" s="68"/>
      <c r="BV46" s="68"/>
      <c r="BW46" s="68"/>
      <c r="BX46" s="68"/>
    </row>
    <row r="47" spans="6:76" ht="12" customHeight="1">
      <c r="F47" s="227"/>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9"/>
      <c r="AM47" s="68"/>
      <c r="AN47" s="68"/>
      <c r="AO47" s="68"/>
      <c r="AP47" s="68"/>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68"/>
      <c r="BT47" s="68"/>
      <c r="BU47" s="68"/>
      <c r="BV47" s="68"/>
      <c r="BW47" s="68"/>
      <c r="BX47" s="68"/>
    </row>
    <row r="48" spans="39:76" ht="12" customHeight="1">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68"/>
      <c r="BW48" s="68"/>
      <c r="BX48" s="68"/>
    </row>
    <row r="49" spans="2:76" ht="12" customHeight="1">
      <c r="B49" s="389" t="s">
        <v>5</v>
      </c>
      <c r="C49" s="390"/>
      <c r="D49" s="390"/>
      <c r="E49" s="390"/>
      <c r="F49" s="390"/>
      <c r="G49" s="390"/>
      <c r="H49" s="390"/>
      <c r="I49" s="390"/>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68"/>
      <c r="BV49" s="68"/>
      <c r="BW49" s="68"/>
      <c r="BX49" s="68"/>
    </row>
    <row r="50" spans="2:76" ht="12" customHeight="1">
      <c r="B50" s="390"/>
      <c r="C50" s="390"/>
      <c r="D50" s="390"/>
      <c r="E50" s="390"/>
      <c r="F50" s="390"/>
      <c r="G50" s="390"/>
      <c r="H50" s="390"/>
      <c r="I50" s="390"/>
      <c r="J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row>
    <row r="51" spans="2:76" ht="10.5" customHeight="1">
      <c r="B51" s="390"/>
      <c r="C51" s="390"/>
      <c r="D51" s="390"/>
      <c r="E51" s="390"/>
      <c r="F51" s="390"/>
      <c r="G51" s="390"/>
      <c r="H51" s="390"/>
      <c r="I51" s="390"/>
      <c r="J51" s="68"/>
      <c r="K51" s="388" t="s">
        <v>7</v>
      </c>
      <c r="L51" s="388"/>
      <c r="M51" s="388"/>
      <c r="N51" s="388"/>
      <c r="O51" s="388"/>
      <c r="P51" s="388"/>
      <c r="Q51" s="388"/>
      <c r="R51" s="388"/>
      <c r="S51" s="388"/>
      <c r="T51" s="388"/>
      <c r="U51" s="388"/>
      <c r="V51" s="388"/>
      <c r="W51" s="388"/>
      <c r="X51" s="388"/>
      <c r="Y51" s="388"/>
      <c r="Z51" s="388"/>
      <c r="AA51" s="388"/>
      <c r="AB51" s="388"/>
      <c r="AC51" s="388"/>
      <c r="AD51" s="388"/>
      <c r="AE51" s="388"/>
      <c r="AF51" s="388"/>
      <c r="AG51" s="388"/>
      <c r="AH51" s="388"/>
      <c r="AI51" s="388"/>
      <c r="AJ51" s="388"/>
      <c r="AK51" s="388"/>
      <c r="AL51" s="38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row>
    <row r="52" spans="2:76" ht="12" customHeight="1">
      <c r="B52" s="391">
        <f>VLOOKUP(A5,'ECKDAT barde'!A4:O23,15)</f>
        <v>0.05</v>
      </c>
      <c r="C52" s="391"/>
      <c r="D52" s="391"/>
      <c r="E52" s="391"/>
      <c r="F52" s="391"/>
      <c r="G52" s="391"/>
      <c r="H52" s="391"/>
      <c r="I52" s="391"/>
      <c r="J52" s="175"/>
      <c r="K52" s="388"/>
      <c r="L52" s="388"/>
      <c r="M52" s="388"/>
      <c r="N52" s="388"/>
      <c r="O52" s="388"/>
      <c r="P52" s="388"/>
      <c r="Q52" s="388"/>
      <c r="R52" s="388"/>
      <c r="S52" s="388"/>
      <c r="T52" s="388"/>
      <c r="U52" s="388"/>
      <c r="V52" s="388"/>
      <c r="W52" s="388"/>
      <c r="X52" s="388"/>
      <c r="Y52" s="388"/>
      <c r="Z52" s="388"/>
      <c r="AA52" s="388"/>
      <c r="AB52" s="388"/>
      <c r="AC52" s="388"/>
      <c r="AD52" s="388"/>
      <c r="AE52" s="388"/>
      <c r="AF52" s="388"/>
      <c r="AG52" s="388"/>
      <c r="AH52" s="388"/>
      <c r="AI52" s="388"/>
      <c r="AJ52" s="388"/>
      <c r="AK52" s="388"/>
      <c r="AL52" s="38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row>
    <row r="53" spans="39:76" ht="12" customHeight="1">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68"/>
    </row>
    <row r="54" spans="2:76" ht="12" customHeight="1">
      <c r="B54" s="389" t="s">
        <v>8</v>
      </c>
      <c r="C54" s="390"/>
      <c r="D54" s="390"/>
      <c r="E54" s="390"/>
      <c r="F54" s="390"/>
      <c r="G54" s="390"/>
      <c r="H54" s="390"/>
      <c r="I54" s="390"/>
      <c r="J54" s="68"/>
      <c r="K54" s="388" t="s">
        <v>9</v>
      </c>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88"/>
      <c r="AJ54" s="388"/>
      <c r="AK54" s="388"/>
      <c r="AL54" s="38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68"/>
      <c r="BV54" s="68"/>
      <c r="BW54" s="68"/>
      <c r="BX54" s="68"/>
    </row>
    <row r="55" spans="2:76" ht="12" customHeight="1">
      <c r="B55" s="390"/>
      <c r="C55" s="390"/>
      <c r="D55" s="390"/>
      <c r="E55" s="390"/>
      <c r="F55" s="390"/>
      <c r="G55" s="390"/>
      <c r="H55" s="390"/>
      <c r="I55" s="390"/>
      <c r="J55" s="68"/>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row>
    <row r="56" spans="2:76" ht="12" customHeight="1">
      <c r="B56" s="398"/>
      <c r="C56" s="398"/>
      <c r="D56" s="398"/>
      <c r="E56" s="398"/>
      <c r="F56" s="398"/>
      <c r="G56" s="398"/>
      <c r="H56" s="398"/>
      <c r="I56" s="398"/>
      <c r="J56" s="175"/>
      <c r="K56" s="399"/>
      <c r="L56" s="399"/>
      <c r="M56" s="399"/>
      <c r="N56" s="399"/>
      <c r="O56" s="399"/>
      <c r="P56" s="399"/>
      <c r="Q56" s="399"/>
      <c r="R56" s="399"/>
      <c r="S56" s="399"/>
      <c r="T56" s="399"/>
      <c r="U56" s="399"/>
      <c r="V56" s="399"/>
      <c r="W56" s="399"/>
      <c r="X56" s="399"/>
      <c r="Y56" s="399"/>
      <c r="Z56" s="399"/>
      <c r="AA56" s="399"/>
      <c r="AB56" s="399"/>
      <c r="AC56" s="399"/>
      <c r="AD56" s="399"/>
      <c r="AE56" s="399"/>
      <c r="AF56" s="399"/>
      <c r="AG56" s="399"/>
      <c r="AH56" s="399"/>
      <c r="AI56" s="399"/>
      <c r="AJ56" s="399"/>
      <c r="AK56" s="399"/>
      <c r="AL56" s="399"/>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row>
    <row r="57" spans="2:76" ht="12" customHeight="1">
      <c r="B57" s="223"/>
      <c r="C57" s="223"/>
      <c r="D57" s="223"/>
      <c r="E57" s="223"/>
      <c r="F57" s="223"/>
      <c r="G57" s="223"/>
      <c r="H57" s="223"/>
      <c r="I57" s="223"/>
      <c r="J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row>
    <row r="58" spans="12:76" ht="12" customHeight="1">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68"/>
    </row>
    <row r="59" spans="2:76" ht="12" customHeight="1">
      <c r="B59" s="389" t="s">
        <v>10</v>
      </c>
      <c r="C59" s="400"/>
      <c r="D59" s="400"/>
      <c r="E59" s="400"/>
      <c r="F59" s="400"/>
      <c r="G59" s="400"/>
      <c r="H59" s="400"/>
      <c r="I59" s="400"/>
      <c r="K59" s="402" t="s">
        <v>11</v>
      </c>
      <c r="L59" s="400"/>
      <c r="M59" s="400"/>
      <c r="N59" s="400"/>
      <c r="O59" s="400"/>
      <c r="P59" s="400"/>
      <c r="Q59" s="400"/>
      <c r="R59" s="400"/>
      <c r="S59" s="400"/>
      <c r="T59" s="400"/>
      <c r="U59" s="400"/>
      <c r="V59" s="400"/>
      <c r="W59" s="400"/>
      <c r="X59" s="400"/>
      <c r="Y59" s="400"/>
      <c r="Z59" s="400"/>
      <c r="AA59" s="400"/>
      <c r="AB59" s="400"/>
      <c r="AC59" s="400"/>
      <c r="AD59" s="400"/>
      <c r="AE59" s="400"/>
      <c r="AF59" s="400"/>
      <c r="AG59" s="400"/>
      <c r="AH59" s="400"/>
      <c r="AI59" s="400"/>
      <c r="AJ59" s="400"/>
      <c r="AK59" s="400"/>
      <c r="AL59" s="400"/>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row>
    <row r="60" spans="1:76" ht="12" customHeight="1">
      <c r="A60" s="68"/>
      <c r="B60" s="400"/>
      <c r="C60" s="400"/>
      <c r="D60" s="400"/>
      <c r="E60" s="400"/>
      <c r="F60" s="400"/>
      <c r="G60" s="400"/>
      <c r="H60" s="400"/>
      <c r="I60" s="400"/>
      <c r="K60" s="400"/>
      <c r="L60" s="400"/>
      <c r="M60" s="400"/>
      <c r="N60" s="400"/>
      <c r="O60" s="400"/>
      <c r="P60" s="400"/>
      <c r="Q60" s="400"/>
      <c r="R60" s="400"/>
      <c r="S60" s="400"/>
      <c r="T60" s="400"/>
      <c r="U60" s="400"/>
      <c r="V60" s="400"/>
      <c r="W60" s="400"/>
      <c r="X60" s="400"/>
      <c r="Y60" s="400"/>
      <c r="Z60" s="400"/>
      <c r="AA60" s="400"/>
      <c r="AB60" s="400"/>
      <c r="AC60" s="400"/>
      <c r="AD60" s="400"/>
      <c r="AE60" s="400"/>
      <c r="AF60" s="400"/>
      <c r="AG60" s="400"/>
      <c r="AH60" s="400"/>
      <c r="AI60" s="400"/>
      <c r="AJ60" s="400"/>
      <c r="AK60" s="400"/>
      <c r="AL60" s="400"/>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row>
    <row r="61" spans="1:76" ht="12" customHeight="1">
      <c r="A61" s="68"/>
      <c r="B61" s="401" t="str">
        <f>IF(B62=" "," ","RETTUNGSWURFMODIFIKATION")</f>
        <v> </v>
      </c>
      <c r="C61" s="401"/>
      <c r="D61" s="401"/>
      <c r="E61" s="401"/>
      <c r="F61" s="401"/>
      <c r="G61" s="401"/>
      <c r="H61" s="401"/>
      <c r="I61" s="401"/>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400"/>
      <c r="AK61" s="400"/>
      <c r="AL61" s="400"/>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row>
    <row r="62" spans="1:76" ht="12" customHeight="1">
      <c r="A62" s="68"/>
      <c r="B62" s="403" t="str">
        <f>IF(VLOOKUP(A5,'ECKDAT barde'!A4:P23,16)=0," ",VLOOKUP(A5,'ECKDAT barde'!A4:P23,16))</f>
        <v> </v>
      </c>
      <c r="C62" s="403"/>
      <c r="D62" s="403"/>
      <c r="E62" s="403"/>
      <c r="F62" s="403"/>
      <c r="G62" s="403"/>
      <c r="H62" s="403"/>
      <c r="I62" s="403"/>
      <c r="J62" s="175"/>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c r="BX62" s="68"/>
    </row>
    <row r="63" spans="1:76" ht="12" customHeight="1">
      <c r="A63" s="68"/>
      <c r="B63" s="18"/>
      <c r="C63" s="18"/>
      <c r="D63" s="18"/>
      <c r="E63" s="18"/>
      <c r="F63" s="18"/>
      <c r="G63" s="18"/>
      <c r="H63" s="18"/>
      <c r="I63" s="18"/>
      <c r="J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row>
    <row r="64" spans="1:76" ht="12" customHeight="1">
      <c r="A64" s="68"/>
      <c r="B64" s="186"/>
      <c r="C64" s="223"/>
      <c r="D64" s="223"/>
      <c r="E64" s="223"/>
      <c r="F64" s="223"/>
      <c r="G64" s="223"/>
      <c r="H64" s="223"/>
      <c r="I64" s="223"/>
      <c r="J64" s="68"/>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68"/>
    </row>
    <row r="65" spans="1:76" ht="12" customHeight="1">
      <c r="A65" s="68"/>
      <c r="B65" s="223"/>
      <c r="C65" s="223"/>
      <c r="D65" s="223"/>
      <c r="E65" s="223"/>
      <c r="F65" s="223"/>
      <c r="G65" s="223"/>
      <c r="H65" s="223"/>
      <c r="I65" s="223"/>
      <c r="J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row>
    <row r="66" spans="1:76" ht="12" customHeight="1">
      <c r="A66" s="68"/>
      <c r="B66" s="68"/>
      <c r="C66" s="68"/>
      <c r="D66" s="68"/>
      <c r="E66" s="68"/>
      <c r="F66" s="68"/>
      <c r="G66" s="68"/>
      <c r="H66" s="68"/>
      <c r="I66" s="68"/>
      <c r="J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row>
    <row r="67" spans="39:76" ht="12" customHeight="1">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68"/>
    </row>
    <row r="68" spans="39:76" ht="12" customHeight="1">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row>
    <row r="69" spans="39:76" ht="12" customHeight="1">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68"/>
    </row>
    <row r="70" spans="39:76" ht="10.5">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row>
    <row r="71" spans="39:76" ht="10.5">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68"/>
    </row>
    <row r="72" spans="39:76" ht="10.5">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row>
    <row r="73" spans="39:76" ht="10.5">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row>
    <row r="74" spans="39:76" ht="10.5">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row>
    <row r="75" spans="39:76" ht="10.5">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row>
    <row r="76" spans="39:76" ht="10.5">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68"/>
    </row>
    <row r="77" spans="39:76" ht="10.5">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68"/>
    </row>
    <row r="78" spans="39:76" ht="10.5">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68"/>
    </row>
    <row r="79" spans="39:76" ht="10.5">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68"/>
    </row>
    <row r="80" spans="39:76" ht="10.5">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row>
    <row r="81" spans="39:76" ht="10.5">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c r="BX81" s="68"/>
    </row>
    <row r="82" spans="39:76" ht="10.5">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row>
    <row r="83" spans="39:76" ht="10.5">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row>
    <row r="84" spans="39:76" ht="10.5">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68"/>
    </row>
    <row r="85" spans="39:76" ht="10.5">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68"/>
    </row>
  </sheetData>
  <sheetProtection password="C795" sheet="1" objects="1" scenarios="1"/>
  <mergeCells count="89">
    <mergeCell ref="U3:AA3"/>
    <mergeCell ref="AC3:AL3"/>
    <mergeCell ref="B7:F7"/>
    <mergeCell ref="H7:Q7"/>
    <mergeCell ref="U5:AA5"/>
    <mergeCell ref="AC5:AL5"/>
    <mergeCell ref="U7:AA7"/>
    <mergeCell ref="AC7:AL7"/>
    <mergeCell ref="B5:F5"/>
    <mergeCell ref="H5:Q5"/>
    <mergeCell ref="AJ12:AL13"/>
    <mergeCell ref="K13:M13"/>
    <mergeCell ref="O13:Q13"/>
    <mergeCell ref="S13:U13"/>
    <mergeCell ref="W13:Y13"/>
    <mergeCell ref="Z13:AA13"/>
    <mergeCell ref="AB13:AD13"/>
    <mergeCell ref="AF13:AH13"/>
    <mergeCell ref="AB11:AD12"/>
    <mergeCell ref="AF11:AH12"/>
    <mergeCell ref="B12:I13"/>
    <mergeCell ref="B15:I16"/>
    <mergeCell ref="AJ15:AL16"/>
    <mergeCell ref="K16:M16"/>
    <mergeCell ref="O16:Q16"/>
    <mergeCell ref="S16:U16"/>
    <mergeCell ref="W16:Y16"/>
    <mergeCell ref="Z16:AA16"/>
    <mergeCell ref="AB16:AD16"/>
    <mergeCell ref="AF16:AH16"/>
    <mergeCell ref="B18:I19"/>
    <mergeCell ref="AJ18:AL19"/>
    <mergeCell ref="K19:M19"/>
    <mergeCell ref="O19:Q19"/>
    <mergeCell ref="S19:U19"/>
    <mergeCell ref="W19:Y19"/>
    <mergeCell ref="Z19:AA19"/>
    <mergeCell ref="AB19:AD19"/>
    <mergeCell ref="AF19:AH19"/>
    <mergeCell ref="B21:I22"/>
    <mergeCell ref="AJ21:AL22"/>
    <mergeCell ref="K22:M22"/>
    <mergeCell ref="O22:Q22"/>
    <mergeCell ref="S22:U22"/>
    <mergeCell ref="W22:Y22"/>
    <mergeCell ref="Z22:AA22"/>
    <mergeCell ref="AB22:AD22"/>
    <mergeCell ref="AF22:AH22"/>
    <mergeCell ref="B30:I31"/>
    <mergeCell ref="K30:AL31"/>
    <mergeCell ref="B27:I28"/>
    <mergeCell ref="AJ24:AL24"/>
    <mergeCell ref="W24:Y24"/>
    <mergeCell ref="AA45:AD45"/>
    <mergeCell ref="Z24:AA24"/>
    <mergeCell ref="F41:AJ41"/>
    <mergeCell ref="K26:AL28"/>
    <mergeCell ref="K24:M24"/>
    <mergeCell ref="O24:Q24"/>
    <mergeCell ref="S24:U24"/>
    <mergeCell ref="B33:I34"/>
    <mergeCell ref="K33:AL34"/>
    <mergeCell ref="B36:I37"/>
    <mergeCell ref="K23:M23"/>
    <mergeCell ref="K36:AL37"/>
    <mergeCell ref="AJ23:AL23"/>
    <mergeCell ref="AA43:AD43"/>
    <mergeCell ref="AF43:AI43"/>
    <mergeCell ref="Q45:T45"/>
    <mergeCell ref="V45:Y45"/>
    <mergeCell ref="W23:Y23"/>
    <mergeCell ref="S23:U23"/>
    <mergeCell ref="O23:Q23"/>
    <mergeCell ref="B54:I56"/>
    <mergeCell ref="K54:AL56"/>
    <mergeCell ref="B59:I60"/>
    <mergeCell ref="B61:I61"/>
    <mergeCell ref="K59:AL62"/>
    <mergeCell ref="B62:I62"/>
    <mergeCell ref="K51:AL52"/>
    <mergeCell ref="B49:I51"/>
    <mergeCell ref="B52:I52"/>
    <mergeCell ref="G43:J43"/>
    <mergeCell ref="L43:O43"/>
    <mergeCell ref="Q43:T43"/>
    <mergeCell ref="V43:Y43"/>
    <mergeCell ref="AF45:AI45"/>
    <mergeCell ref="G45:J45"/>
    <mergeCell ref="L45:O45"/>
  </mergeCells>
  <printOptions/>
  <pageMargins left="0.1968503937007874" right="0.1968503937007874" top="0.3937007874015748" bottom="0.1968503937007874" header="0.5118110236220472" footer="0.5118110236220472"/>
  <pageSetup horizontalDpi="300" verticalDpi="300" orientation="portrait" paperSize="9" r:id="rId2"/>
  <legacyDrawing r:id="rId1"/>
</worksheet>
</file>

<file path=xl/worksheets/sheet20.xml><?xml version="1.0" encoding="utf-8"?>
<worksheet xmlns="http://schemas.openxmlformats.org/spreadsheetml/2006/main" xmlns:r="http://schemas.openxmlformats.org/officeDocument/2006/relationships">
  <sheetPr codeName="Tabelle20"/>
  <dimension ref="A1:D1543"/>
  <sheetViews>
    <sheetView workbookViewId="0" topLeftCell="A1">
      <selection activeCell="A3" sqref="A3"/>
    </sheetView>
  </sheetViews>
  <sheetFormatPr defaultColWidth="11.421875" defaultRowHeight="12.75"/>
  <cols>
    <col min="1" max="1" width="30.00390625" style="5" customWidth="1"/>
    <col min="2" max="2" width="17.28125" style="4" customWidth="1"/>
    <col min="3" max="3" width="10.57421875" style="4" customWidth="1"/>
    <col min="4" max="4" width="12.421875" style="29" customWidth="1"/>
    <col min="5" max="5" width="16.421875" style="5" customWidth="1"/>
    <col min="6" max="16384" width="11.421875" style="5" customWidth="1"/>
  </cols>
  <sheetData>
    <row r="1" spans="1:4" ht="12.75">
      <c r="A1" s="23" t="s">
        <v>460</v>
      </c>
      <c r="B1" s="24" t="s">
        <v>461</v>
      </c>
      <c r="C1" s="24" t="s">
        <v>462</v>
      </c>
      <c r="D1" s="25" t="s">
        <v>463</v>
      </c>
    </row>
    <row r="2" spans="1:4" ht="12.75">
      <c r="A2" s="26"/>
      <c r="B2" s="27"/>
      <c r="C2" s="27"/>
      <c r="D2" s="28"/>
    </row>
    <row r="3" spans="1:4" ht="12.75">
      <c r="A3" s="5" t="s">
        <v>464</v>
      </c>
      <c r="B3" s="4" t="s">
        <v>465</v>
      </c>
      <c r="C3" s="4">
        <v>0.01</v>
      </c>
      <c r="D3" s="29" t="s">
        <v>466</v>
      </c>
    </row>
    <row r="4" spans="1:4" ht="12.75">
      <c r="A4" s="5" t="s">
        <v>467</v>
      </c>
      <c r="B4" s="4" t="s">
        <v>468</v>
      </c>
      <c r="C4" s="4">
        <v>3</v>
      </c>
      <c r="D4" s="29" t="s">
        <v>469</v>
      </c>
    </row>
    <row r="5" spans="1:4" ht="12.75">
      <c r="A5" s="5" t="s">
        <v>470</v>
      </c>
      <c r="B5" s="4" t="s">
        <v>468</v>
      </c>
      <c r="C5" s="4">
        <v>4</v>
      </c>
      <c r="D5" s="29" t="s">
        <v>469</v>
      </c>
    </row>
    <row r="6" spans="1:4" ht="12.75">
      <c r="A6" s="5" t="s">
        <v>471</v>
      </c>
      <c r="B6" s="4" t="s">
        <v>468</v>
      </c>
      <c r="C6" s="4">
        <v>6</v>
      </c>
      <c r="D6" s="29" t="s">
        <v>469</v>
      </c>
    </row>
    <row r="7" spans="1:4" ht="12.75">
      <c r="A7" s="5" t="s">
        <v>472</v>
      </c>
      <c r="B7" s="4" t="s">
        <v>473</v>
      </c>
      <c r="C7" s="4">
        <v>6000</v>
      </c>
      <c r="D7" s="29" t="s">
        <v>469</v>
      </c>
    </row>
    <row r="8" spans="1:4" ht="12.75">
      <c r="A8" s="5" t="s">
        <v>474</v>
      </c>
      <c r="B8" s="4" t="s">
        <v>475</v>
      </c>
      <c r="C8" s="4">
        <v>1</v>
      </c>
      <c r="D8" s="29" t="s">
        <v>476</v>
      </c>
    </row>
    <row r="9" spans="1:4" ht="12.75">
      <c r="A9" s="5" t="s">
        <v>477</v>
      </c>
      <c r="B9" s="4" t="s">
        <v>475</v>
      </c>
      <c r="C9" s="4">
        <v>1</v>
      </c>
      <c r="D9" s="29" t="s">
        <v>476</v>
      </c>
    </row>
    <row r="10" spans="1:4" ht="12.75">
      <c r="A10" s="5" t="s">
        <v>478</v>
      </c>
      <c r="B10" s="4" t="s">
        <v>479</v>
      </c>
      <c r="C10" s="4">
        <v>400</v>
      </c>
      <c r="D10" s="29" t="s">
        <v>466</v>
      </c>
    </row>
    <row r="11" spans="1:4" ht="12.75">
      <c r="A11" s="5" t="s">
        <v>480</v>
      </c>
      <c r="B11" s="4" t="s">
        <v>481</v>
      </c>
      <c r="C11" s="4">
        <v>3</v>
      </c>
      <c r="D11" s="29" t="s">
        <v>482</v>
      </c>
    </row>
    <row r="12" spans="1:4" ht="12.75">
      <c r="A12" s="5" t="s">
        <v>483</v>
      </c>
      <c r="B12" s="4" t="s">
        <v>484</v>
      </c>
      <c r="C12" s="4">
        <v>5</v>
      </c>
      <c r="D12" s="29" t="s">
        <v>482</v>
      </c>
    </row>
    <row r="13" spans="1:4" ht="12.75">
      <c r="A13" s="5" t="s">
        <v>485</v>
      </c>
      <c r="B13" s="4" t="s">
        <v>486</v>
      </c>
      <c r="C13" s="4">
        <v>0.01</v>
      </c>
      <c r="D13" s="29" t="s">
        <v>487</v>
      </c>
    </row>
    <row r="14" spans="1:4" ht="12.75">
      <c r="A14" s="5" t="s">
        <v>488</v>
      </c>
      <c r="B14" s="4" t="s">
        <v>473</v>
      </c>
      <c r="C14" s="4">
        <v>1020</v>
      </c>
      <c r="D14" s="29" t="s">
        <v>469</v>
      </c>
    </row>
    <row r="15" spans="1:4" ht="12.75">
      <c r="A15" s="5" t="s">
        <v>489</v>
      </c>
      <c r="B15" s="4" t="s">
        <v>473</v>
      </c>
      <c r="C15" s="4">
        <v>0.5</v>
      </c>
      <c r="D15" s="29" t="s">
        <v>469</v>
      </c>
    </row>
    <row r="16" spans="1:4" ht="12.75">
      <c r="A16" s="5" t="s">
        <v>490</v>
      </c>
      <c r="B16" s="4" t="s">
        <v>491</v>
      </c>
      <c r="C16" s="4">
        <v>15</v>
      </c>
      <c r="D16" s="29" t="s">
        <v>482</v>
      </c>
    </row>
    <row r="17" spans="1:4" ht="12.75">
      <c r="A17" s="5" t="s">
        <v>492</v>
      </c>
      <c r="B17" s="4" t="s">
        <v>491</v>
      </c>
      <c r="C17" s="4">
        <v>15</v>
      </c>
      <c r="D17" s="29" t="s">
        <v>482</v>
      </c>
    </row>
    <row r="18" spans="1:4" ht="12.75">
      <c r="A18" s="5" t="s">
        <v>493</v>
      </c>
      <c r="B18" s="4" t="s">
        <v>494</v>
      </c>
      <c r="C18" s="4">
        <v>25</v>
      </c>
      <c r="D18" s="29" t="s">
        <v>482</v>
      </c>
    </row>
    <row r="19" spans="1:4" ht="12.75">
      <c r="A19" s="5" t="s">
        <v>495</v>
      </c>
      <c r="B19" s="4" t="s">
        <v>494</v>
      </c>
      <c r="C19" s="4">
        <v>10</v>
      </c>
      <c r="D19" s="29" t="s">
        <v>482</v>
      </c>
    </row>
    <row r="20" spans="1:4" ht="12.75">
      <c r="A20" s="5" t="s">
        <v>496</v>
      </c>
      <c r="B20" s="4" t="s">
        <v>475</v>
      </c>
      <c r="C20" s="4">
        <v>10</v>
      </c>
      <c r="D20" s="29" t="s">
        <v>476</v>
      </c>
    </row>
    <row r="21" spans="1:4" ht="12.75">
      <c r="A21" s="5" t="s">
        <v>499</v>
      </c>
      <c r="B21" s="4" t="s">
        <v>500</v>
      </c>
      <c r="C21" s="4">
        <v>2</v>
      </c>
      <c r="D21" s="29" t="s">
        <v>482</v>
      </c>
    </row>
    <row r="22" spans="1:4" ht="12.75">
      <c r="A22" s="5" t="s">
        <v>501</v>
      </c>
      <c r="B22" s="4" t="s">
        <v>500</v>
      </c>
      <c r="C22" s="4">
        <v>0.1</v>
      </c>
      <c r="D22" s="29" t="s">
        <v>482</v>
      </c>
    </row>
    <row r="23" spans="1:4" ht="12.75">
      <c r="A23" s="5" t="s">
        <v>502</v>
      </c>
      <c r="B23" s="4" t="s">
        <v>500</v>
      </c>
      <c r="C23" s="4">
        <v>0.1</v>
      </c>
      <c r="D23" s="29" t="s">
        <v>503</v>
      </c>
    </row>
    <row r="24" spans="1:4" ht="12.75">
      <c r="A24" s="5" t="s">
        <v>504</v>
      </c>
      <c r="B24" s="4" t="s">
        <v>473</v>
      </c>
      <c r="C24" s="4">
        <v>750</v>
      </c>
      <c r="D24" s="29" t="s">
        <v>469</v>
      </c>
    </row>
    <row r="25" spans="1:4" ht="12.75">
      <c r="A25" s="5" t="s">
        <v>505</v>
      </c>
      <c r="B25" s="4" t="s">
        <v>465</v>
      </c>
      <c r="C25" s="4">
        <v>0.01</v>
      </c>
      <c r="D25" s="29" t="s">
        <v>466</v>
      </c>
    </row>
    <row r="26" spans="1:4" ht="12.75">
      <c r="A26" s="5" t="s">
        <v>506</v>
      </c>
      <c r="B26" s="4" t="s">
        <v>465</v>
      </c>
      <c r="C26" s="4">
        <v>0.04</v>
      </c>
      <c r="D26" s="29" t="s">
        <v>466</v>
      </c>
    </row>
    <row r="27" spans="1:4" ht="12.75">
      <c r="A27" s="5" t="s">
        <v>507</v>
      </c>
      <c r="B27" s="4" t="s">
        <v>465</v>
      </c>
      <c r="C27" s="4">
        <v>0.02</v>
      </c>
      <c r="D27" s="29" t="s">
        <v>466</v>
      </c>
    </row>
    <row r="28" spans="1:4" ht="12.75">
      <c r="A28" s="5" t="s">
        <v>508</v>
      </c>
      <c r="B28" s="4" t="s">
        <v>465</v>
      </c>
      <c r="C28" s="4">
        <v>8</v>
      </c>
      <c r="D28" s="29" t="s">
        <v>509</v>
      </c>
    </row>
    <row r="29" spans="1:4" ht="12.75">
      <c r="A29" s="5" t="s">
        <v>510</v>
      </c>
      <c r="B29" s="4" t="s">
        <v>465</v>
      </c>
      <c r="C29" s="4">
        <v>0.15</v>
      </c>
      <c r="D29" s="29" t="s">
        <v>466</v>
      </c>
    </row>
    <row r="30" spans="1:4" ht="12.75">
      <c r="A30" s="5" t="s">
        <v>511</v>
      </c>
      <c r="B30" s="4" t="s">
        <v>475</v>
      </c>
      <c r="C30" s="4">
        <v>50</v>
      </c>
      <c r="D30" s="29" t="s">
        <v>476</v>
      </c>
    </row>
    <row r="31" spans="1:4" ht="12.75">
      <c r="A31" s="5" t="s">
        <v>512</v>
      </c>
      <c r="B31" s="4" t="s">
        <v>481</v>
      </c>
      <c r="C31" s="4">
        <v>1</v>
      </c>
      <c r="D31" s="29" t="s">
        <v>513</v>
      </c>
    </row>
    <row r="32" spans="1:4" ht="12.75">
      <c r="A32" s="5" t="s">
        <v>514</v>
      </c>
      <c r="B32" s="4" t="s">
        <v>481</v>
      </c>
      <c r="C32" s="4">
        <v>1.5</v>
      </c>
      <c r="D32" s="29" t="s">
        <v>513</v>
      </c>
    </row>
    <row r="33" spans="1:4" ht="12.75">
      <c r="A33" s="5" t="s">
        <v>515</v>
      </c>
      <c r="B33" s="4" t="s">
        <v>481</v>
      </c>
      <c r="C33" s="4">
        <v>0.7</v>
      </c>
      <c r="D33" s="29" t="s">
        <v>513</v>
      </c>
    </row>
    <row r="34" spans="1:4" ht="12.75">
      <c r="A34" s="5" t="s">
        <v>516</v>
      </c>
      <c r="B34" s="4" t="s">
        <v>517</v>
      </c>
      <c r="C34" s="4">
        <v>10</v>
      </c>
      <c r="D34" s="29" t="s">
        <v>482</v>
      </c>
    </row>
    <row r="35" spans="1:4" ht="12.75">
      <c r="A35" s="5" t="s">
        <v>518</v>
      </c>
      <c r="B35" s="4" t="s">
        <v>473</v>
      </c>
      <c r="C35" s="4">
        <v>2</v>
      </c>
      <c r="D35" s="29" t="s">
        <v>469</v>
      </c>
    </row>
    <row r="36" spans="1:4" ht="12.75">
      <c r="A36" s="5" t="s">
        <v>519</v>
      </c>
      <c r="B36" s="4" t="s">
        <v>473</v>
      </c>
      <c r="C36" s="4">
        <v>120</v>
      </c>
      <c r="D36" s="29" t="s">
        <v>469</v>
      </c>
    </row>
    <row r="37" spans="1:4" ht="12.75">
      <c r="A37" s="5" t="s">
        <v>520</v>
      </c>
      <c r="B37" s="4" t="s">
        <v>473</v>
      </c>
      <c r="C37" s="4">
        <v>0.5</v>
      </c>
      <c r="D37" s="29" t="s">
        <v>469</v>
      </c>
    </row>
    <row r="38" spans="1:4" ht="12.75">
      <c r="A38" s="5" t="s">
        <v>521</v>
      </c>
      <c r="B38" s="4" t="s">
        <v>473</v>
      </c>
      <c r="C38" s="4">
        <v>13</v>
      </c>
      <c r="D38" s="29" t="s">
        <v>469</v>
      </c>
    </row>
    <row r="39" spans="1:4" ht="12.75">
      <c r="A39" s="5" t="s">
        <v>522</v>
      </c>
      <c r="B39" s="4" t="s">
        <v>523</v>
      </c>
      <c r="C39" s="4">
        <v>1</v>
      </c>
      <c r="D39" s="29" t="s">
        <v>482</v>
      </c>
    </row>
    <row r="40" spans="1:4" ht="12.75">
      <c r="A40" s="5" t="s">
        <v>524</v>
      </c>
      <c r="B40" s="4" t="s">
        <v>523</v>
      </c>
      <c r="C40" s="4">
        <v>0.1</v>
      </c>
      <c r="D40" s="29" t="s">
        <v>482</v>
      </c>
    </row>
    <row r="41" spans="1:4" ht="12.75">
      <c r="A41" s="5" t="s">
        <v>525</v>
      </c>
      <c r="B41" s="4" t="s">
        <v>523</v>
      </c>
      <c r="C41" s="4">
        <v>0.2</v>
      </c>
      <c r="D41" s="29" t="s">
        <v>482</v>
      </c>
    </row>
    <row r="42" spans="1:4" ht="12.75">
      <c r="A42" s="5" t="s">
        <v>526</v>
      </c>
      <c r="B42" s="4" t="s">
        <v>481</v>
      </c>
      <c r="C42" s="4">
        <v>40</v>
      </c>
      <c r="D42" s="29" t="s">
        <v>513</v>
      </c>
    </row>
    <row r="43" spans="1:4" ht="12.75">
      <c r="A43" s="5" t="s">
        <v>527</v>
      </c>
      <c r="B43" s="4" t="s">
        <v>481</v>
      </c>
      <c r="C43" s="4">
        <v>4</v>
      </c>
      <c r="D43" s="29" t="s">
        <v>513</v>
      </c>
    </row>
    <row r="44" spans="1:4" ht="12.75">
      <c r="A44" s="5" t="s">
        <v>528</v>
      </c>
      <c r="B44" s="4" t="s">
        <v>481</v>
      </c>
      <c r="C44" s="4">
        <v>2</v>
      </c>
      <c r="D44" s="29" t="s">
        <v>513</v>
      </c>
    </row>
    <row r="45" spans="1:4" ht="12.75">
      <c r="A45" s="5" t="s">
        <v>529</v>
      </c>
      <c r="B45" s="4" t="s">
        <v>481</v>
      </c>
      <c r="C45" s="4">
        <v>3</v>
      </c>
      <c r="D45" s="29" t="s">
        <v>513</v>
      </c>
    </row>
    <row r="46" spans="1:4" ht="12.75">
      <c r="A46" s="5" t="s">
        <v>530</v>
      </c>
      <c r="B46" s="4" t="s">
        <v>517</v>
      </c>
      <c r="C46" s="4">
        <v>0.03</v>
      </c>
      <c r="D46" s="29" t="s">
        <v>482</v>
      </c>
    </row>
    <row r="47" spans="1:4" ht="12.75">
      <c r="A47" s="5" t="s">
        <v>531</v>
      </c>
      <c r="B47" s="4" t="s">
        <v>473</v>
      </c>
      <c r="C47" s="4">
        <v>0.6</v>
      </c>
      <c r="D47" s="29" t="s">
        <v>469</v>
      </c>
    </row>
    <row r="48" spans="1:4" ht="12.75">
      <c r="A48" s="5" t="s">
        <v>532</v>
      </c>
      <c r="B48" s="4" t="s">
        <v>473</v>
      </c>
      <c r="C48" s="4">
        <v>300</v>
      </c>
      <c r="D48" s="29" t="s">
        <v>469</v>
      </c>
    </row>
    <row r="49" spans="1:4" ht="12.75">
      <c r="A49" s="5" t="s">
        <v>533</v>
      </c>
      <c r="B49" s="4" t="s">
        <v>481</v>
      </c>
      <c r="C49" s="4">
        <v>50</v>
      </c>
      <c r="D49" s="29" t="s">
        <v>513</v>
      </c>
    </row>
    <row r="50" spans="1:4" ht="12.75">
      <c r="A50" s="5" t="s">
        <v>534</v>
      </c>
      <c r="B50" s="4" t="s">
        <v>481</v>
      </c>
      <c r="C50" s="4">
        <v>4</v>
      </c>
      <c r="D50" s="29" t="s">
        <v>513</v>
      </c>
    </row>
    <row r="51" spans="1:4" ht="12.75">
      <c r="A51" s="5" t="s">
        <v>535</v>
      </c>
      <c r="B51" s="4" t="s">
        <v>481</v>
      </c>
      <c r="C51" s="4">
        <v>6</v>
      </c>
      <c r="D51" s="29" t="s">
        <v>513</v>
      </c>
    </row>
    <row r="52" spans="1:4" ht="12.75">
      <c r="A52" s="5" t="s">
        <v>536</v>
      </c>
      <c r="B52" s="4" t="s">
        <v>481</v>
      </c>
      <c r="C52" s="4">
        <v>3</v>
      </c>
      <c r="D52" s="29" t="s">
        <v>482</v>
      </c>
    </row>
    <row r="53" spans="1:4" ht="12.75">
      <c r="A53" s="5" t="s">
        <v>537</v>
      </c>
      <c r="B53" s="4" t="s">
        <v>500</v>
      </c>
      <c r="C53" s="4">
        <v>0.01</v>
      </c>
      <c r="D53" s="29" t="s">
        <v>503</v>
      </c>
    </row>
    <row r="54" spans="1:4" ht="12.75">
      <c r="A54" s="5" t="s">
        <v>538</v>
      </c>
      <c r="B54" s="4" t="s">
        <v>473</v>
      </c>
      <c r="C54" s="4">
        <v>2000</v>
      </c>
      <c r="D54" s="29" t="s">
        <v>469</v>
      </c>
    </row>
    <row r="55" spans="1:4" ht="12.75">
      <c r="A55" s="5" t="s">
        <v>539</v>
      </c>
      <c r="B55" s="4" t="s">
        <v>473</v>
      </c>
      <c r="C55" s="4">
        <v>400</v>
      </c>
      <c r="D55" s="29" t="s">
        <v>469</v>
      </c>
    </row>
    <row r="56" spans="1:4" ht="12.75">
      <c r="A56" s="5" t="s">
        <v>540</v>
      </c>
      <c r="B56" s="4" t="s">
        <v>541</v>
      </c>
      <c r="C56" s="4">
        <v>0.8</v>
      </c>
      <c r="D56" s="29" t="s">
        <v>542</v>
      </c>
    </row>
    <row r="57" spans="1:4" ht="12.75">
      <c r="A57" s="5" t="s">
        <v>543</v>
      </c>
      <c r="B57" s="4" t="s">
        <v>541</v>
      </c>
      <c r="C57" s="4">
        <v>0.35</v>
      </c>
      <c r="D57" s="29" t="s">
        <v>542</v>
      </c>
    </row>
    <row r="58" spans="1:4" ht="12.75">
      <c r="A58" s="5" t="s">
        <v>544</v>
      </c>
      <c r="B58" s="4" t="s">
        <v>541</v>
      </c>
      <c r="C58" s="4">
        <v>0.4</v>
      </c>
      <c r="D58" s="29" t="s">
        <v>542</v>
      </c>
    </row>
    <row r="59" spans="1:4" ht="12.75">
      <c r="A59" s="5" t="s">
        <v>545</v>
      </c>
      <c r="B59" s="4" t="s">
        <v>473</v>
      </c>
      <c r="C59" s="4">
        <v>80</v>
      </c>
      <c r="D59" s="29" t="s">
        <v>469</v>
      </c>
    </row>
    <row r="60" spans="1:4" ht="12.75">
      <c r="A60" s="5" t="s">
        <v>546</v>
      </c>
      <c r="B60" s="4" t="s">
        <v>481</v>
      </c>
      <c r="C60" s="4">
        <v>80</v>
      </c>
      <c r="D60" s="29" t="s">
        <v>513</v>
      </c>
    </row>
    <row r="61" spans="1:4" ht="12.75">
      <c r="A61" s="5" t="s">
        <v>547</v>
      </c>
      <c r="B61" s="4" t="s">
        <v>481</v>
      </c>
      <c r="C61" s="4">
        <v>175</v>
      </c>
      <c r="D61" s="29" t="s">
        <v>513</v>
      </c>
    </row>
    <row r="62" spans="1:4" ht="12.75">
      <c r="A62" s="5" t="s">
        <v>548</v>
      </c>
      <c r="B62" s="4" t="s">
        <v>481</v>
      </c>
      <c r="C62" s="4">
        <v>120</v>
      </c>
      <c r="D62" s="29" t="s">
        <v>513</v>
      </c>
    </row>
    <row r="63" spans="1:4" ht="12.75">
      <c r="A63" s="5" t="s">
        <v>549</v>
      </c>
      <c r="B63" s="4" t="s">
        <v>481</v>
      </c>
      <c r="C63" s="4">
        <v>220</v>
      </c>
      <c r="D63" s="29" t="s">
        <v>513</v>
      </c>
    </row>
    <row r="64" spans="1:4" ht="12.75">
      <c r="A64" s="5" t="s">
        <v>550</v>
      </c>
      <c r="B64" s="4" t="s">
        <v>481</v>
      </c>
      <c r="C64" s="4">
        <v>100</v>
      </c>
      <c r="D64" s="29" t="s">
        <v>513</v>
      </c>
    </row>
    <row r="65" spans="1:4" ht="12.75">
      <c r="A65" s="5" t="s">
        <v>551</v>
      </c>
      <c r="B65" s="4" t="s">
        <v>481</v>
      </c>
      <c r="C65" s="4">
        <v>225</v>
      </c>
      <c r="D65" s="29" t="s">
        <v>513</v>
      </c>
    </row>
    <row r="66" spans="1:4" ht="12.75">
      <c r="A66" s="5" t="s">
        <v>552</v>
      </c>
      <c r="B66" s="4" t="s">
        <v>465</v>
      </c>
      <c r="C66" s="4">
        <v>0.2</v>
      </c>
      <c r="D66" s="29" t="s">
        <v>466</v>
      </c>
    </row>
    <row r="67" spans="1:4" ht="12.75">
      <c r="A67" s="5" t="s">
        <v>327</v>
      </c>
      <c r="B67" s="4" t="s">
        <v>494</v>
      </c>
      <c r="C67" s="4">
        <v>1</v>
      </c>
      <c r="D67" s="29" t="s">
        <v>482</v>
      </c>
    </row>
    <row r="68" spans="1:4" ht="12.75">
      <c r="A68" s="5" t="s">
        <v>553</v>
      </c>
      <c r="B68" s="4" t="s">
        <v>494</v>
      </c>
      <c r="C68" s="4">
        <v>3</v>
      </c>
      <c r="D68" s="29" t="s">
        <v>482</v>
      </c>
    </row>
    <row r="69" spans="1:4" ht="12.75">
      <c r="A69" s="5" t="s">
        <v>554</v>
      </c>
      <c r="B69" s="4" t="s">
        <v>494</v>
      </c>
      <c r="C69" s="4">
        <v>2</v>
      </c>
      <c r="D69" s="29" t="s">
        <v>482</v>
      </c>
    </row>
    <row r="70" spans="1:4" ht="12.75">
      <c r="A70" s="5" t="s">
        <v>555</v>
      </c>
      <c r="B70" s="4" t="s">
        <v>475</v>
      </c>
      <c r="C70" s="4">
        <v>1</v>
      </c>
      <c r="D70" s="29" t="s">
        <v>476</v>
      </c>
    </row>
    <row r="71" spans="1:4" ht="12.75">
      <c r="A71" s="5" t="s">
        <v>556</v>
      </c>
      <c r="B71" s="4" t="s">
        <v>481</v>
      </c>
      <c r="C71" s="4">
        <v>1</v>
      </c>
      <c r="D71" s="29" t="s">
        <v>513</v>
      </c>
    </row>
    <row r="72" spans="1:4" ht="12.75">
      <c r="A72" s="5" t="s">
        <v>557</v>
      </c>
      <c r="B72" s="4" t="s">
        <v>481</v>
      </c>
      <c r="C72" s="4">
        <v>5</v>
      </c>
      <c r="D72" s="29" t="s">
        <v>513</v>
      </c>
    </row>
    <row r="73" spans="1:4" ht="12.75">
      <c r="A73" s="5" t="s">
        <v>558</v>
      </c>
      <c r="B73" s="4" t="s">
        <v>481</v>
      </c>
      <c r="C73" s="4">
        <v>0.07</v>
      </c>
      <c r="D73" s="29" t="s">
        <v>482</v>
      </c>
    </row>
    <row r="74" spans="1:4" ht="12.75">
      <c r="A74" s="5" t="s">
        <v>559</v>
      </c>
      <c r="B74" s="4" t="s">
        <v>491</v>
      </c>
      <c r="C74" s="4">
        <v>1</v>
      </c>
      <c r="D74" s="29" t="s">
        <v>560</v>
      </c>
    </row>
    <row r="75" spans="1:4" ht="12.75">
      <c r="A75" s="5" t="s">
        <v>561</v>
      </c>
      <c r="B75" s="4" t="s">
        <v>486</v>
      </c>
      <c r="C75" s="4">
        <v>0.01</v>
      </c>
      <c r="D75" s="29" t="s">
        <v>487</v>
      </c>
    </row>
    <row r="76" spans="1:4" ht="12.75">
      <c r="A76" s="5" t="s">
        <v>562</v>
      </c>
      <c r="B76" s="4" t="s">
        <v>563</v>
      </c>
      <c r="C76" s="4">
        <v>200</v>
      </c>
      <c r="D76" s="29" t="s">
        <v>482</v>
      </c>
    </row>
    <row r="77" spans="1:4" ht="12.75">
      <c r="A77" s="5" t="s">
        <v>564</v>
      </c>
      <c r="B77" s="4" t="s">
        <v>541</v>
      </c>
      <c r="C77" s="4">
        <v>2.2</v>
      </c>
      <c r="D77" s="29" t="s">
        <v>542</v>
      </c>
    </row>
    <row r="78" spans="1:4" ht="12.75">
      <c r="A78" s="5" t="s">
        <v>565</v>
      </c>
      <c r="B78" s="4" t="s">
        <v>465</v>
      </c>
      <c r="C78" s="4">
        <v>0.45</v>
      </c>
      <c r="D78" s="29" t="s">
        <v>466</v>
      </c>
    </row>
    <row r="79" spans="1:4" ht="12.75">
      <c r="A79" s="5" t="s">
        <v>566</v>
      </c>
      <c r="B79" s="4" t="s">
        <v>567</v>
      </c>
      <c r="C79" s="4">
        <v>500</v>
      </c>
      <c r="D79" s="29" t="s">
        <v>482</v>
      </c>
    </row>
    <row r="80" spans="1:4" ht="12.75">
      <c r="A80" s="5" t="s">
        <v>568</v>
      </c>
      <c r="B80" s="4" t="s">
        <v>465</v>
      </c>
      <c r="C80" s="4">
        <v>0.01</v>
      </c>
      <c r="D80" s="29" t="s">
        <v>466</v>
      </c>
    </row>
    <row r="81" spans="1:4" ht="12.75">
      <c r="A81" s="5" t="s">
        <v>569</v>
      </c>
      <c r="B81" s="4" t="s">
        <v>484</v>
      </c>
      <c r="C81" s="4">
        <v>7</v>
      </c>
      <c r="D81" s="29" t="s">
        <v>482</v>
      </c>
    </row>
    <row r="82" spans="1:4" ht="12.75">
      <c r="A82" s="5" t="s">
        <v>437</v>
      </c>
      <c r="B82" s="4" t="s">
        <v>484</v>
      </c>
      <c r="C82" s="4">
        <v>25</v>
      </c>
      <c r="D82" s="29" t="s">
        <v>482</v>
      </c>
    </row>
    <row r="83" spans="1:4" ht="12.75">
      <c r="A83" s="5" t="s">
        <v>570</v>
      </c>
      <c r="B83" s="4" t="s">
        <v>484</v>
      </c>
      <c r="C83" s="4">
        <v>0.01</v>
      </c>
      <c r="D83" s="29" t="s">
        <v>482</v>
      </c>
    </row>
    <row r="84" spans="1:4" ht="12.75">
      <c r="A84" s="5" t="s">
        <v>571</v>
      </c>
      <c r="B84" s="4" t="s">
        <v>481</v>
      </c>
      <c r="C84" s="4">
        <v>120</v>
      </c>
      <c r="D84" s="29" t="s">
        <v>513</v>
      </c>
    </row>
    <row r="85" spans="1:4" ht="12.75">
      <c r="A85" s="5" t="s">
        <v>572</v>
      </c>
      <c r="B85" s="4" t="s">
        <v>486</v>
      </c>
      <c r="C85" s="4">
        <v>0.1</v>
      </c>
      <c r="D85" s="29" t="s">
        <v>466</v>
      </c>
    </row>
    <row r="86" spans="1:4" ht="12.75">
      <c r="A86" s="5" t="s">
        <v>573</v>
      </c>
      <c r="B86" s="4" t="s">
        <v>491</v>
      </c>
      <c r="C86" s="4">
        <v>8</v>
      </c>
      <c r="D86" s="29" t="s">
        <v>482</v>
      </c>
    </row>
    <row r="87" spans="1:4" ht="12.75">
      <c r="A87" s="5" t="s">
        <v>574</v>
      </c>
      <c r="B87" s="4" t="s">
        <v>541</v>
      </c>
      <c r="C87" s="4">
        <v>0.02</v>
      </c>
      <c r="D87" s="29" t="s">
        <v>542</v>
      </c>
    </row>
    <row r="88" spans="1:4" ht="12.75">
      <c r="A88" s="5" t="s">
        <v>575</v>
      </c>
      <c r="B88" s="4" t="s">
        <v>481</v>
      </c>
      <c r="C88" s="4">
        <v>500</v>
      </c>
      <c r="D88" s="29" t="s">
        <v>513</v>
      </c>
    </row>
    <row r="89" spans="1:4" ht="12.75">
      <c r="A89" s="5" t="s">
        <v>576</v>
      </c>
      <c r="B89" s="4" t="s">
        <v>563</v>
      </c>
      <c r="C89" s="4">
        <v>8</v>
      </c>
      <c r="D89" s="29" t="s">
        <v>482</v>
      </c>
    </row>
    <row r="90" spans="1:4" ht="12.75">
      <c r="A90" s="5" t="s">
        <v>577</v>
      </c>
      <c r="B90" s="4" t="s">
        <v>465</v>
      </c>
      <c r="C90" s="4">
        <v>0.02</v>
      </c>
      <c r="D90" s="29" t="s">
        <v>560</v>
      </c>
    </row>
    <row r="91" spans="1:4" ht="12.75">
      <c r="A91" s="5" t="s">
        <v>578</v>
      </c>
      <c r="B91" s="4" t="s">
        <v>465</v>
      </c>
      <c r="C91" s="4">
        <v>0.1</v>
      </c>
      <c r="D91" s="29" t="s">
        <v>560</v>
      </c>
    </row>
    <row r="92" spans="1:4" ht="12.75">
      <c r="A92" s="5" t="s">
        <v>579</v>
      </c>
      <c r="B92" s="4" t="s">
        <v>465</v>
      </c>
      <c r="C92" s="4">
        <v>0.05</v>
      </c>
      <c r="D92" s="29" t="s">
        <v>560</v>
      </c>
    </row>
    <row r="93" spans="1:4" ht="12.75">
      <c r="A93" s="5" t="s">
        <v>580</v>
      </c>
      <c r="B93" s="4" t="s">
        <v>494</v>
      </c>
      <c r="C93" s="4">
        <v>0.5</v>
      </c>
      <c r="D93" s="29" t="s">
        <v>482</v>
      </c>
    </row>
    <row r="94" spans="1:4" ht="12.75">
      <c r="A94" s="5" t="s">
        <v>581</v>
      </c>
      <c r="B94" s="4" t="s">
        <v>473</v>
      </c>
      <c r="C94" s="4">
        <v>400</v>
      </c>
      <c r="D94" s="29" t="s">
        <v>469</v>
      </c>
    </row>
    <row r="95" spans="1:4" ht="12.75">
      <c r="A95" s="5" t="s">
        <v>582</v>
      </c>
      <c r="B95" s="4" t="s">
        <v>473</v>
      </c>
      <c r="C95" s="4">
        <v>600</v>
      </c>
      <c r="D95" s="29" t="s">
        <v>469</v>
      </c>
    </row>
    <row r="96" spans="1:4" ht="12.75">
      <c r="A96" s="5" t="s">
        <v>583</v>
      </c>
      <c r="B96" s="4" t="s">
        <v>475</v>
      </c>
      <c r="C96" s="4">
        <v>5</v>
      </c>
      <c r="D96" s="29" t="s">
        <v>476</v>
      </c>
    </row>
    <row r="97" spans="1:4" ht="12.75">
      <c r="A97" s="5" t="s">
        <v>584</v>
      </c>
      <c r="B97" s="4" t="s">
        <v>475</v>
      </c>
      <c r="C97" s="4">
        <v>10</v>
      </c>
      <c r="D97" s="29" t="s">
        <v>476</v>
      </c>
    </row>
    <row r="98" spans="1:4" ht="12.75">
      <c r="A98" s="5" t="s">
        <v>585</v>
      </c>
      <c r="B98" s="4" t="s">
        <v>473</v>
      </c>
      <c r="C98" s="4">
        <v>190</v>
      </c>
      <c r="D98" s="29" t="s">
        <v>469</v>
      </c>
    </row>
    <row r="99" spans="1:4" ht="12.75">
      <c r="A99" s="5" t="s">
        <v>586</v>
      </c>
      <c r="B99" s="4" t="s">
        <v>468</v>
      </c>
      <c r="C99" s="4">
        <v>0.5</v>
      </c>
      <c r="D99" s="29" t="s">
        <v>469</v>
      </c>
    </row>
    <row r="100" spans="1:4" ht="12.75">
      <c r="A100" s="5" t="s">
        <v>587</v>
      </c>
      <c r="B100" s="4" t="s">
        <v>468</v>
      </c>
      <c r="C100" s="4">
        <v>1</v>
      </c>
      <c r="D100" s="29" t="s">
        <v>469</v>
      </c>
    </row>
    <row r="101" spans="1:4" ht="12.75">
      <c r="A101" s="5" t="s">
        <v>588</v>
      </c>
      <c r="B101" s="4" t="s">
        <v>468</v>
      </c>
      <c r="C101" s="4">
        <v>2</v>
      </c>
      <c r="D101" s="29" t="s">
        <v>469</v>
      </c>
    </row>
    <row r="102" spans="1:4" ht="12.75">
      <c r="A102" s="5" t="s">
        <v>589</v>
      </c>
      <c r="B102" s="4" t="s">
        <v>590</v>
      </c>
      <c r="C102" s="4">
        <v>55</v>
      </c>
      <c r="D102" s="29" t="s">
        <v>482</v>
      </c>
    </row>
    <row r="103" spans="1:4" ht="12.75">
      <c r="A103" s="5" t="s">
        <v>591</v>
      </c>
      <c r="B103" s="4" t="s">
        <v>590</v>
      </c>
      <c r="C103" s="4">
        <v>25</v>
      </c>
      <c r="D103" s="29" t="s">
        <v>482</v>
      </c>
    </row>
    <row r="104" spans="1:4" ht="12.75">
      <c r="A104" s="5" t="s">
        <v>592</v>
      </c>
      <c r="B104" s="4" t="s">
        <v>590</v>
      </c>
      <c r="C104" s="4">
        <v>22</v>
      </c>
      <c r="D104" s="29" t="s">
        <v>482</v>
      </c>
    </row>
    <row r="105" spans="1:4" ht="12.75">
      <c r="A105" s="5" t="s">
        <v>593</v>
      </c>
      <c r="B105" s="4" t="s">
        <v>590</v>
      </c>
      <c r="C105" s="4">
        <v>29</v>
      </c>
      <c r="D105" s="29" t="s">
        <v>482</v>
      </c>
    </row>
    <row r="106" spans="1:4" ht="12.75">
      <c r="A106" s="5" t="s">
        <v>594</v>
      </c>
      <c r="B106" s="4" t="s">
        <v>590</v>
      </c>
      <c r="C106" s="4">
        <v>33</v>
      </c>
      <c r="D106" s="29" t="s">
        <v>482</v>
      </c>
    </row>
    <row r="107" spans="1:4" ht="12.75">
      <c r="A107" s="5" t="s">
        <v>595</v>
      </c>
      <c r="B107" s="4" t="s">
        <v>590</v>
      </c>
      <c r="C107" s="4">
        <v>36</v>
      </c>
      <c r="D107" s="29" t="s">
        <v>482</v>
      </c>
    </row>
    <row r="108" spans="1:4" ht="12.75">
      <c r="A108" s="5" t="s">
        <v>596</v>
      </c>
      <c r="B108" s="4" t="s">
        <v>590</v>
      </c>
      <c r="C108" s="4">
        <v>20</v>
      </c>
      <c r="D108" s="29" t="s">
        <v>482</v>
      </c>
    </row>
    <row r="109" spans="1:4" ht="12.75">
      <c r="A109" s="5" t="s">
        <v>597</v>
      </c>
      <c r="B109" s="4" t="s">
        <v>481</v>
      </c>
      <c r="C109" s="4">
        <v>1</v>
      </c>
      <c r="D109" s="29" t="s">
        <v>513</v>
      </c>
    </row>
    <row r="110" spans="1:4" ht="12.75">
      <c r="A110" s="5" t="s">
        <v>598</v>
      </c>
      <c r="B110" s="4" t="s">
        <v>541</v>
      </c>
      <c r="C110" s="4">
        <v>0.03</v>
      </c>
      <c r="D110" s="29" t="s">
        <v>542</v>
      </c>
    </row>
    <row r="111" spans="1:4" ht="12.75">
      <c r="A111" s="5" t="s">
        <v>599</v>
      </c>
      <c r="B111" s="4" t="s">
        <v>491</v>
      </c>
      <c r="C111" s="4">
        <v>0.03</v>
      </c>
      <c r="D111" s="29" t="s">
        <v>600</v>
      </c>
    </row>
    <row r="112" spans="1:4" ht="12.75">
      <c r="A112" s="5" t="s">
        <v>601</v>
      </c>
      <c r="B112" s="4" t="s">
        <v>484</v>
      </c>
      <c r="C112" s="4">
        <v>3</v>
      </c>
      <c r="D112" s="29" t="s">
        <v>482</v>
      </c>
    </row>
    <row r="113" spans="1:4" ht="12.75">
      <c r="A113" s="5" t="s">
        <v>602</v>
      </c>
      <c r="B113" s="4" t="s">
        <v>486</v>
      </c>
      <c r="C113" s="4">
        <v>0.07</v>
      </c>
      <c r="D113" s="29" t="s">
        <v>487</v>
      </c>
    </row>
    <row r="114" spans="1:4" ht="12.75">
      <c r="A114" s="5" t="s">
        <v>603</v>
      </c>
      <c r="B114" s="4" t="s">
        <v>465</v>
      </c>
      <c r="C114" s="4">
        <v>0.02</v>
      </c>
      <c r="D114" s="29" t="s">
        <v>466</v>
      </c>
    </row>
    <row r="115" spans="1:4" ht="12.75">
      <c r="A115" s="5" t="s">
        <v>604</v>
      </c>
      <c r="B115" s="4" t="s">
        <v>465</v>
      </c>
      <c r="C115" s="4">
        <v>0.05</v>
      </c>
      <c r="D115" s="29" t="s">
        <v>466</v>
      </c>
    </row>
    <row r="116" spans="1:4" ht="12.75">
      <c r="A116" s="5" t="s">
        <v>605</v>
      </c>
      <c r="B116" s="4" t="s">
        <v>465</v>
      </c>
      <c r="C116" s="4">
        <v>0.03</v>
      </c>
      <c r="D116" s="29" t="s">
        <v>466</v>
      </c>
    </row>
    <row r="117" spans="1:4" ht="12.75">
      <c r="A117" s="5" t="s">
        <v>606</v>
      </c>
      <c r="B117" s="4" t="s">
        <v>465</v>
      </c>
      <c r="C117" s="4">
        <v>0.01</v>
      </c>
      <c r="D117" s="29" t="s">
        <v>560</v>
      </c>
    </row>
    <row r="118" spans="1:4" ht="12.75">
      <c r="A118" s="5" t="s">
        <v>607</v>
      </c>
      <c r="B118" s="4" t="s">
        <v>465</v>
      </c>
      <c r="C118" s="4">
        <v>0.06</v>
      </c>
      <c r="D118" s="29" t="s">
        <v>560</v>
      </c>
    </row>
    <row r="119" spans="1:4" ht="12.75">
      <c r="A119" s="5" t="s">
        <v>608</v>
      </c>
      <c r="B119" s="4" t="s">
        <v>465</v>
      </c>
      <c r="C119" s="4">
        <v>0.03</v>
      </c>
      <c r="D119" s="29" t="s">
        <v>560</v>
      </c>
    </row>
    <row r="120" spans="1:4" ht="12.75">
      <c r="A120" s="5" t="s">
        <v>609</v>
      </c>
      <c r="B120" s="4" t="s">
        <v>494</v>
      </c>
      <c r="C120" s="4">
        <v>500</v>
      </c>
      <c r="D120" s="29" t="s">
        <v>482</v>
      </c>
    </row>
    <row r="121" spans="1:4" ht="12.75">
      <c r="A121" s="5" t="s">
        <v>610</v>
      </c>
      <c r="B121" s="4" t="s">
        <v>484</v>
      </c>
      <c r="C121" s="4">
        <v>5</v>
      </c>
      <c r="D121" s="29" t="s">
        <v>482</v>
      </c>
    </row>
    <row r="122" spans="1:4" ht="12.75">
      <c r="A122" s="5" t="s">
        <v>611</v>
      </c>
      <c r="B122" s="4" t="s">
        <v>523</v>
      </c>
      <c r="C122" s="4">
        <v>0.1</v>
      </c>
      <c r="D122" s="29" t="s">
        <v>482</v>
      </c>
    </row>
    <row r="123" spans="1:4" ht="12.75">
      <c r="A123" s="5" t="s">
        <v>612</v>
      </c>
      <c r="B123" s="4" t="s">
        <v>523</v>
      </c>
      <c r="C123" s="4">
        <v>0.02</v>
      </c>
      <c r="D123" s="29" t="s">
        <v>482</v>
      </c>
    </row>
    <row r="124" spans="1:4" ht="12.75">
      <c r="A124" s="5" t="s">
        <v>613</v>
      </c>
      <c r="B124" s="4" t="s">
        <v>475</v>
      </c>
      <c r="C124" s="4">
        <v>1</v>
      </c>
      <c r="D124" s="29" t="s">
        <v>476</v>
      </c>
    </row>
    <row r="125" spans="1:4" ht="12.75">
      <c r="A125" s="5" t="s">
        <v>614</v>
      </c>
      <c r="B125" s="4" t="s">
        <v>500</v>
      </c>
      <c r="C125" s="4">
        <v>3</v>
      </c>
      <c r="D125" s="29" t="s">
        <v>482</v>
      </c>
    </row>
    <row r="126" spans="1:4" ht="12.75">
      <c r="A126" s="5" t="s">
        <v>615</v>
      </c>
      <c r="B126" s="4" t="s">
        <v>500</v>
      </c>
      <c r="C126" s="4">
        <v>5</v>
      </c>
      <c r="D126" s="29" t="s">
        <v>482</v>
      </c>
    </row>
    <row r="127" spans="1:4" ht="12.75">
      <c r="A127" s="5" t="s">
        <v>616</v>
      </c>
      <c r="B127" s="4" t="s">
        <v>479</v>
      </c>
      <c r="C127" s="4">
        <v>0.05</v>
      </c>
      <c r="D127" s="29" t="s">
        <v>466</v>
      </c>
    </row>
    <row r="128" spans="1:4" ht="12.75">
      <c r="A128" s="5" t="s">
        <v>617</v>
      </c>
      <c r="B128" s="4" t="s">
        <v>517</v>
      </c>
      <c r="C128" s="4">
        <v>0.01</v>
      </c>
      <c r="D128" s="29" t="s">
        <v>469</v>
      </c>
    </row>
    <row r="129" spans="1:4" ht="12.75">
      <c r="A129" s="5" t="s">
        <v>618</v>
      </c>
      <c r="B129" s="4" t="s">
        <v>468</v>
      </c>
      <c r="C129" s="4">
        <v>0.3</v>
      </c>
      <c r="D129" s="29" t="s">
        <v>469</v>
      </c>
    </row>
    <row r="130" spans="1:4" ht="12.75">
      <c r="A130" s="5" t="s">
        <v>619</v>
      </c>
      <c r="B130" s="4" t="s">
        <v>468</v>
      </c>
      <c r="C130" s="4">
        <v>0.3</v>
      </c>
      <c r="D130" s="29" t="s">
        <v>469</v>
      </c>
    </row>
    <row r="131" spans="1:4" ht="12.75">
      <c r="A131" s="5" t="s">
        <v>620</v>
      </c>
      <c r="B131" s="4" t="s">
        <v>475</v>
      </c>
      <c r="C131" s="4">
        <v>5</v>
      </c>
      <c r="D131" s="29" t="s">
        <v>476</v>
      </c>
    </row>
    <row r="132" spans="1:4" ht="12.75">
      <c r="A132" s="5" t="s">
        <v>621</v>
      </c>
      <c r="B132" s="4" t="s">
        <v>486</v>
      </c>
      <c r="C132" s="4">
        <v>0.25</v>
      </c>
      <c r="D132" s="29" t="s">
        <v>487</v>
      </c>
    </row>
    <row r="133" spans="1:4" ht="12.75">
      <c r="A133" s="5" t="s">
        <v>622</v>
      </c>
      <c r="B133" s="4" t="s">
        <v>484</v>
      </c>
      <c r="C133" s="4">
        <v>0.02</v>
      </c>
      <c r="D133" s="29" t="s">
        <v>482</v>
      </c>
    </row>
    <row r="134" spans="1:4" ht="12.75">
      <c r="A134" s="5" t="s">
        <v>623</v>
      </c>
      <c r="B134" s="4" t="s">
        <v>481</v>
      </c>
      <c r="C134" s="4">
        <v>10</v>
      </c>
      <c r="D134" s="29" t="s">
        <v>513</v>
      </c>
    </row>
    <row r="135" spans="1:4" ht="12.75">
      <c r="A135" s="5" t="s">
        <v>624</v>
      </c>
      <c r="B135" s="4" t="s">
        <v>481</v>
      </c>
      <c r="C135" s="4">
        <v>150</v>
      </c>
      <c r="D135" s="29" t="s">
        <v>513</v>
      </c>
    </row>
    <row r="136" spans="1:4" ht="12.75">
      <c r="A136" s="5" t="s">
        <v>625</v>
      </c>
      <c r="B136" s="4" t="s">
        <v>481</v>
      </c>
      <c r="C136" s="4">
        <v>4</v>
      </c>
      <c r="D136" s="29" t="s">
        <v>513</v>
      </c>
    </row>
    <row r="137" spans="1:4" ht="12.75">
      <c r="A137" s="5" t="s">
        <v>626</v>
      </c>
      <c r="B137" s="4" t="s">
        <v>481</v>
      </c>
      <c r="C137" s="4">
        <v>4</v>
      </c>
      <c r="D137" s="29" t="s">
        <v>513</v>
      </c>
    </row>
    <row r="138" spans="1:4" ht="12.75">
      <c r="A138" s="5" t="s">
        <v>627</v>
      </c>
      <c r="B138" s="4" t="s">
        <v>481</v>
      </c>
      <c r="C138" s="4">
        <v>6</v>
      </c>
      <c r="D138" s="29" t="s">
        <v>513</v>
      </c>
    </row>
    <row r="139" spans="1:4" ht="12.75">
      <c r="A139" s="5" t="s">
        <v>628</v>
      </c>
      <c r="B139" s="4" t="s">
        <v>481</v>
      </c>
      <c r="C139" s="4">
        <v>50</v>
      </c>
      <c r="D139" s="29" t="s">
        <v>513</v>
      </c>
    </row>
    <row r="140" spans="1:4" ht="12.75">
      <c r="A140" s="5" t="s">
        <v>629</v>
      </c>
      <c r="B140" s="4" t="s">
        <v>465</v>
      </c>
      <c r="C140" s="4">
        <v>0.02</v>
      </c>
      <c r="D140" s="29" t="s">
        <v>466</v>
      </c>
    </row>
    <row r="141" spans="1:4" ht="12.75">
      <c r="A141" s="5" t="s">
        <v>630</v>
      </c>
      <c r="B141" s="4" t="s">
        <v>484</v>
      </c>
      <c r="C141" s="4">
        <v>0.06</v>
      </c>
      <c r="D141" s="29" t="s">
        <v>482</v>
      </c>
    </row>
    <row r="142" spans="1:4" ht="12.75">
      <c r="A142" s="5" t="s">
        <v>631</v>
      </c>
      <c r="B142" s="4" t="s">
        <v>484</v>
      </c>
      <c r="C142" s="4">
        <v>0.5</v>
      </c>
      <c r="D142" s="29" t="s">
        <v>482</v>
      </c>
    </row>
    <row r="143" spans="1:4" ht="12.75">
      <c r="A143" s="5" t="s">
        <v>632</v>
      </c>
      <c r="B143" s="4" t="s">
        <v>500</v>
      </c>
      <c r="C143" s="4">
        <v>1</v>
      </c>
      <c r="D143" s="29" t="s">
        <v>482</v>
      </c>
    </row>
    <row r="144" spans="1:4" ht="12.75">
      <c r="A144" s="5" t="s">
        <v>633</v>
      </c>
      <c r="B144" s="4" t="s">
        <v>500</v>
      </c>
      <c r="C144" s="4">
        <v>0.8</v>
      </c>
      <c r="D144" s="29" t="s">
        <v>482</v>
      </c>
    </row>
    <row r="145" spans="1:4" ht="12.75">
      <c r="A145" s="5" t="s">
        <v>634</v>
      </c>
      <c r="B145" s="4" t="s">
        <v>481</v>
      </c>
      <c r="C145" s="4">
        <v>0.1</v>
      </c>
      <c r="D145" s="29" t="s">
        <v>635</v>
      </c>
    </row>
    <row r="146" spans="1:4" ht="12.75">
      <c r="A146" s="5" t="s">
        <v>636</v>
      </c>
      <c r="B146" s="4" t="s">
        <v>481</v>
      </c>
      <c r="C146" s="4">
        <v>500</v>
      </c>
      <c r="D146" s="29" t="s">
        <v>513</v>
      </c>
    </row>
    <row r="147" spans="1:4" ht="12.75">
      <c r="A147" s="5" t="s">
        <v>637</v>
      </c>
      <c r="B147" s="4" t="s">
        <v>494</v>
      </c>
      <c r="C147" s="4">
        <v>8</v>
      </c>
      <c r="D147" s="29" t="s">
        <v>482</v>
      </c>
    </row>
    <row r="148" spans="1:4" ht="12.75">
      <c r="A148" s="5" t="s">
        <v>638</v>
      </c>
      <c r="B148" s="4" t="s">
        <v>500</v>
      </c>
      <c r="C148" s="4">
        <v>2</v>
      </c>
      <c r="D148" s="29" t="s">
        <v>482</v>
      </c>
    </row>
    <row r="149" spans="1:4" ht="12.75">
      <c r="A149" s="5" t="s">
        <v>639</v>
      </c>
      <c r="B149" s="4" t="s">
        <v>481</v>
      </c>
      <c r="C149" s="4">
        <v>0.5</v>
      </c>
      <c r="D149" s="29" t="s">
        <v>513</v>
      </c>
    </row>
    <row r="150" spans="1:4" ht="12.75">
      <c r="A150" s="5" t="s">
        <v>640</v>
      </c>
      <c r="B150" s="4" t="s">
        <v>494</v>
      </c>
      <c r="C150" s="4">
        <v>20</v>
      </c>
      <c r="D150" s="29" t="s">
        <v>482</v>
      </c>
    </row>
    <row r="151" spans="1:4" ht="12.75">
      <c r="A151" s="5" t="s">
        <v>641</v>
      </c>
      <c r="B151" s="4" t="s">
        <v>494</v>
      </c>
      <c r="C151" s="4">
        <v>55</v>
      </c>
      <c r="D151" s="29" t="s">
        <v>482</v>
      </c>
    </row>
    <row r="152" spans="1:4" ht="12.75">
      <c r="A152" s="5" t="s">
        <v>642</v>
      </c>
      <c r="B152" s="4" t="s">
        <v>481</v>
      </c>
      <c r="C152" s="4">
        <v>4</v>
      </c>
      <c r="D152" s="29" t="s">
        <v>513</v>
      </c>
    </row>
    <row r="153" spans="1:4" ht="12.75">
      <c r="A153" s="5" t="s">
        <v>643</v>
      </c>
      <c r="B153" s="4" t="s">
        <v>644</v>
      </c>
      <c r="C153" s="4">
        <v>0.95</v>
      </c>
      <c r="D153" s="29" t="s">
        <v>482</v>
      </c>
    </row>
    <row r="154" spans="1:4" ht="12.75">
      <c r="A154" s="5" t="s">
        <v>645</v>
      </c>
      <c r="B154" s="4" t="s">
        <v>517</v>
      </c>
      <c r="C154" s="4">
        <v>0.6</v>
      </c>
      <c r="D154" s="29" t="s">
        <v>482</v>
      </c>
    </row>
    <row r="155" spans="1:4" ht="12.75">
      <c r="A155" s="5" t="s">
        <v>646</v>
      </c>
      <c r="B155" s="4" t="s">
        <v>473</v>
      </c>
      <c r="C155" s="4">
        <v>250</v>
      </c>
      <c r="D155" s="29" t="s">
        <v>469</v>
      </c>
    </row>
    <row r="156" spans="1:4" ht="12.75">
      <c r="A156" s="5" t="s">
        <v>647</v>
      </c>
      <c r="B156" s="4" t="s">
        <v>644</v>
      </c>
      <c r="C156" s="4">
        <v>100</v>
      </c>
      <c r="D156" s="29" t="s">
        <v>482</v>
      </c>
    </row>
    <row r="157" spans="1:4" ht="12.75">
      <c r="A157" s="5" t="s">
        <v>648</v>
      </c>
      <c r="B157" s="4" t="s">
        <v>541</v>
      </c>
      <c r="C157" s="4">
        <v>3.2</v>
      </c>
      <c r="D157" s="29" t="s">
        <v>542</v>
      </c>
    </row>
    <row r="158" spans="1:4" ht="12.75">
      <c r="A158" s="5" t="s">
        <v>649</v>
      </c>
      <c r="B158" s="4" t="s">
        <v>541</v>
      </c>
      <c r="C158" s="4">
        <v>2.2</v>
      </c>
      <c r="D158" s="29" t="s">
        <v>542</v>
      </c>
    </row>
    <row r="159" spans="1:4" ht="12.75">
      <c r="A159" s="5" t="s">
        <v>650</v>
      </c>
      <c r="B159" s="4" t="s">
        <v>479</v>
      </c>
      <c r="C159" s="4">
        <v>0.08</v>
      </c>
      <c r="D159" s="29" t="s">
        <v>466</v>
      </c>
    </row>
    <row r="160" spans="1:4" ht="12.75">
      <c r="A160" s="5" t="s">
        <v>651</v>
      </c>
      <c r="B160" s="4" t="s">
        <v>563</v>
      </c>
      <c r="C160" s="4">
        <v>400</v>
      </c>
      <c r="D160" s="29" t="s">
        <v>482</v>
      </c>
    </row>
    <row r="161" spans="1:4" ht="12.75">
      <c r="A161" s="5" t="s">
        <v>652</v>
      </c>
      <c r="B161" s="4" t="s">
        <v>590</v>
      </c>
      <c r="C161" s="4">
        <v>10</v>
      </c>
      <c r="D161" s="29" t="s">
        <v>482</v>
      </c>
    </row>
    <row r="162" spans="1:4" ht="12.75">
      <c r="A162" s="5" t="s">
        <v>653</v>
      </c>
      <c r="B162" s="4" t="s">
        <v>590</v>
      </c>
      <c r="C162" s="4">
        <v>35</v>
      </c>
      <c r="D162" s="29" t="s">
        <v>482</v>
      </c>
    </row>
    <row r="163" spans="1:4" ht="12.75">
      <c r="A163" s="5" t="s">
        <v>654</v>
      </c>
      <c r="B163" s="4" t="s">
        <v>500</v>
      </c>
      <c r="C163" s="4">
        <v>0.07</v>
      </c>
      <c r="D163" s="29" t="s">
        <v>482</v>
      </c>
    </row>
    <row r="164" spans="1:4" ht="12.75">
      <c r="A164" s="5" t="s">
        <v>655</v>
      </c>
      <c r="B164" s="4" t="s">
        <v>491</v>
      </c>
      <c r="C164" s="4">
        <v>50</v>
      </c>
      <c r="D164" s="29" t="s">
        <v>656</v>
      </c>
    </row>
    <row r="165" spans="1:4" ht="12.75">
      <c r="A165" s="5" t="s">
        <v>657</v>
      </c>
      <c r="B165" s="4" t="s">
        <v>491</v>
      </c>
      <c r="C165" s="4">
        <v>65</v>
      </c>
      <c r="D165" s="29" t="s">
        <v>656</v>
      </c>
    </row>
    <row r="166" spans="1:4" ht="12.75">
      <c r="A166" s="5" t="s">
        <v>658</v>
      </c>
      <c r="B166" s="4" t="s">
        <v>481</v>
      </c>
      <c r="C166" s="4">
        <v>0.5</v>
      </c>
      <c r="D166" s="29" t="s">
        <v>513</v>
      </c>
    </row>
    <row r="167" spans="1:4" ht="12.75">
      <c r="A167" s="5" t="s">
        <v>659</v>
      </c>
      <c r="B167" s="4" t="s">
        <v>486</v>
      </c>
      <c r="C167" s="4">
        <v>0.05</v>
      </c>
      <c r="D167" s="29" t="s">
        <v>487</v>
      </c>
    </row>
    <row r="168" spans="1:4" ht="12.75">
      <c r="A168" s="5" t="s">
        <v>660</v>
      </c>
      <c r="B168" s="4" t="s">
        <v>541</v>
      </c>
      <c r="C168" s="4">
        <v>0.02</v>
      </c>
      <c r="D168" s="29" t="s">
        <v>542</v>
      </c>
    </row>
    <row r="169" spans="1:4" ht="12.75">
      <c r="A169" s="5" t="s">
        <v>661</v>
      </c>
      <c r="B169" s="4" t="s">
        <v>473</v>
      </c>
      <c r="C169" s="4">
        <v>1100</v>
      </c>
      <c r="D169" s="29" t="s">
        <v>469</v>
      </c>
    </row>
    <row r="170" spans="1:4" ht="12.75">
      <c r="A170" s="5" t="s">
        <v>662</v>
      </c>
      <c r="B170" s="4" t="s">
        <v>465</v>
      </c>
      <c r="C170" s="4">
        <v>0.2</v>
      </c>
      <c r="D170" s="29" t="s">
        <v>466</v>
      </c>
    </row>
    <row r="171" spans="1:4" ht="12.75">
      <c r="A171" s="5" t="s">
        <v>663</v>
      </c>
      <c r="B171" s="4" t="s">
        <v>517</v>
      </c>
      <c r="C171" s="4">
        <v>0.2</v>
      </c>
      <c r="D171" s="29" t="s">
        <v>482</v>
      </c>
    </row>
    <row r="172" spans="1:4" ht="12.75">
      <c r="A172" s="5" t="s">
        <v>664</v>
      </c>
      <c r="B172" s="4" t="s">
        <v>484</v>
      </c>
      <c r="C172" s="4">
        <v>10</v>
      </c>
      <c r="D172" s="29" t="s">
        <v>482</v>
      </c>
    </row>
    <row r="173" spans="1:4" ht="12.75">
      <c r="A173" s="5" t="s">
        <v>665</v>
      </c>
      <c r="B173" s="4" t="s">
        <v>475</v>
      </c>
      <c r="C173" s="4">
        <v>5</v>
      </c>
      <c r="D173" s="29" t="s">
        <v>476</v>
      </c>
    </row>
    <row r="174" spans="1:4" ht="12.75">
      <c r="A174" s="5" t="s">
        <v>666</v>
      </c>
      <c r="B174" s="4" t="s">
        <v>475</v>
      </c>
      <c r="C174" s="4">
        <v>10</v>
      </c>
      <c r="D174" s="29" t="s">
        <v>476</v>
      </c>
    </row>
    <row r="175" spans="1:4" ht="12.75">
      <c r="A175" s="5" t="s">
        <v>667</v>
      </c>
      <c r="B175" s="4" t="s">
        <v>567</v>
      </c>
      <c r="C175" s="4">
        <v>500</v>
      </c>
      <c r="D175" s="29" t="s">
        <v>482</v>
      </c>
    </row>
    <row r="176" spans="1:4" ht="12.75">
      <c r="A176" s="5" t="s">
        <v>668</v>
      </c>
      <c r="B176" s="4" t="s">
        <v>473</v>
      </c>
      <c r="C176" s="4">
        <v>350</v>
      </c>
      <c r="D176" s="29" t="s">
        <v>469</v>
      </c>
    </row>
    <row r="177" spans="1:4" ht="12.75">
      <c r="A177" s="5" t="s">
        <v>669</v>
      </c>
      <c r="B177" s="4" t="s">
        <v>473</v>
      </c>
      <c r="C177" s="4">
        <v>280</v>
      </c>
      <c r="D177" s="29" t="s">
        <v>469</v>
      </c>
    </row>
    <row r="178" spans="1:4" ht="12.75">
      <c r="A178" s="5" t="s">
        <v>670</v>
      </c>
      <c r="B178" s="4" t="s">
        <v>484</v>
      </c>
      <c r="C178" s="4">
        <v>100</v>
      </c>
      <c r="D178" s="29" t="s">
        <v>482</v>
      </c>
    </row>
    <row r="179" spans="1:4" ht="12.75">
      <c r="A179" s="5" t="s">
        <v>671</v>
      </c>
      <c r="B179" s="4" t="s">
        <v>473</v>
      </c>
      <c r="C179" s="4">
        <v>3</v>
      </c>
      <c r="D179" s="29" t="s">
        <v>469</v>
      </c>
    </row>
    <row r="180" spans="1:4" ht="12.75">
      <c r="A180" s="5" t="s">
        <v>672</v>
      </c>
      <c r="B180" s="4" t="s">
        <v>473</v>
      </c>
      <c r="C180" s="4">
        <v>3</v>
      </c>
      <c r="D180" s="29" t="s">
        <v>469</v>
      </c>
    </row>
    <row r="181" spans="1:4" ht="12.75">
      <c r="A181" s="5" t="s">
        <v>673</v>
      </c>
      <c r="B181" s="4" t="s">
        <v>465</v>
      </c>
      <c r="C181" s="4">
        <v>0.02</v>
      </c>
      <c r="D181" s="29" t="s">
        <v>466</v>
      </c>
    </row>
    <row r="182" spans="1:4" ht="12.75">
      <c r="A182" s="5" t="s">
        <v>674</v>
      </c>
      <c r="B182" s="4" t="s">
        <v>465</v>
      </c>
      <c r="C182" s="4">
        <v>0.07</v>
      </c>
      <c r="D182" s="29" t="s">
        <v>466</v>
      </c>
    </row>
    <row r="183" spans="1:4" ht="12.75">
      <c r="A183" s="5" t="s">
        <v>675</v>
      </c>
      <c r="B183" s="4" t="s">
        <v>465</v>
      </c>
      <c r="C183" s="4">
        <v>0.01</v>
      </c>
      <c r="D183" s="29" t="s">
        <v>560</v>
      </c>
    </row>
    <row r="184" spans="1:4" ht="12.75">
      <c r="A184" s="5" t="s">
        <v>676</v>
      </c>
      <c r="B184" s="4" t="s">
        <v>465</v>
      </c>
      <c r="C184" s="4">
        <v>0.08</v>
      </c>
      <c r="D184" s="29" t="s">
        <v>560</v>
      </c>
    </row>
    <row r="185" spans="1:4" ht="12.75">
      <c r="A185" s="5" t="s">
        <v>677</v>
      </c>
      <c r="B185" s="4" t="s">
        <v>465</v>
      </c>
      <c r="C185" s="4">
        <v>0.03</v>
      </c>
      <c r="D185" s="29" t="s">
        <v>560</v>
      </c>
    </row>
    <row r="186" spans="1:4" ht="12.75">
      <c r="A186" s="5" t="s">
        <v>678</v>
      </c>
      <c r="B186" s="4" t="s">
        <v>465</v>
      </c>
      <c r="C186" s="4">
        <v>0.01</v>
      </c>
      <c r="D186" s="29" t="s">
        <v>466</v>
      </c>
    </row>
    <row r="187" spans="1:4" ht="12.75">
      <c r="A187" s="5" t="s">
        <v>679</v>
      </c>
      <c r="B187" s="4" t="s">
        <v>500</v>
      </c>
      <c r="C187" s="4">
        <v>20</v>
      </c>
      <c r="D187" s="29" t="s">
        <v>482</v>
      </c>
    </row>
    <row r="188" spans="1:4" ht="12.75">
      <c r="A188" s="5" t="s">
        <v>680</v>
      </c>
      <c r="B188" s="4" t="s">
        <v>500</v>
      </c>
      <c r="C188" s="4">
        <v>0.5</v>
      </c>
      <c r="D188" s="29" t="s">
        <v>482</v>
      </c>
    </row>
    <row r="189" spans="1:4" ht="12.75">
      <c r="A189" s="5" t="s">
        <v>681</v>
      </c>
      <c r="B189" s="4" t="s">
        <v>484</v>
      </c>
      <c r="C189" s="4">
        <v>4</v>
      </c>
      <c r="D189" s="29" t="s">
        <v>482</v>
      </c>
    </row>
    <row r="190" spans="1:4" ht="12.75">
      <c r="A190" s="5" t="s">
        <v>682</v>
      </c>
      <c r="B190" s="4" t="s">
        <v>468</v>
      </c>
      <c r="C190" s="4">
        <v>0.02</v>
      </c>
      <c r="D190" s="29" t="s">
        <v>560</v>
      </c>
    </row>
    <row r="191" spans="1:4" ht="12.75">
      <c r="A191" s="5" t="s">
        <v>683</v>
      </c>
      <c r="B191" s="4" t="s">
        <v>475</v>
      </c>
      <c r="C191" s="4">
        <v>500</v>
      </c>
      <c r="D191" s="29" t="s">
        <v>476</v>
      </c>
    </row>
    <row r="192" spans="1:4" ht="12.75">
      <c r="A192" s="5" t="s">
        <v>689</v>
      </c>
      <c r="B192" s="4" t="s">
        <v>517</v>
      </c>
      <c r="C192" s="4">
        <v>10</v>
      </c>
      <c r="D192" s="29" t="s">
        <v>482</v>
      </c>
    </row>
    <row r="193" spans="1:4" ht="12.75">
      <c r="A193" s="5" t="s">
        <v>690</v>
      </c>
      <c r="B193" s="4" t="s">
        <v>517</v>
      </c>
      <c r="C193" s="4">
        <v>30</v>
      </c>
      <c r="D193" s="29" t="s">
        <v>691</v>
      </c>
    </row>
    <row r="194" spans="1:4" ht="12.75">
      <c r="A194" s="5" t="s">
        <v>692</v>
      </c>
      <c r="B194" s="4" t="s">
        <v>517</v>
      </c>
      <c r="C194" s="4">
        <v>50</v>
      </c>
      <c r="D194" s="29" t="s">
        <v>691</v>
      </c>
    </row>
    <row r="195" spans="1:4" ht="12.75">
      <c r="A195" s="5" t="s">
        <v>693</v>
      </c>
      <c r="B195" s="4" t="s">
        <v>465</v>
      </c>
      <c r="C195" s="4">
        <v>0.01</v>
      </c>
      <c r="D195" s="29" t="s">
        <v>466</v>
      </c>
    </row>
    <row r="196" spans="1:4" ht="12.75">
      <c r="A196" s="5" t="s">
        <v>694</v>
      </c>
      <c r="B196" s="4" t="s">
        <v>465</v>
      </c>
      <c r="C196" s="4">
        <v>0.01</v>
      </c>
      <c r="D196" s="29" t="s">
        <v>560</v>
      </c>
    </row>
    <row r="197" spans="1:4" ht="12.75">
      <c r="A197" s="5" t="s">
        <v>695</v>
      </c>
      <c r="B197" s="4" t="s">
        <v>465</v>
      </c>
      <c r="C197" s="4">
        <v>0.06</v>
      </c>
      <c r="D197" s="29" t="s">
        <v>560</v>
      </c>
    </row>
    <row r="198" spans="1:4" ht="12.75">
      <c r="A198" s="5" t="s">
        <v>696</v>
      </c>
      <c r="B198" s="4" t="s">
        <v>465</v>
      </c>
      <c r="C198" s="4">
        <v>0.03</v>
      </c>
      <c r="D198" s="29" t="s">
        <v>560</v>
      </c>
    </row>
    <row r="199" spans="1:4" ht="12.75">
      <c r="A199" s="5" t="s">
        <v>697</v>
      </c>
      <c r="B199" s="4" t="s">
        <v>465</v>
      </c>
      <c r="C199" s="4">
        <v>0.07</v>
      </c>
      <c r="D199" s="29" t="s">
        <v>560</v>
      </c>
    </row>
    <row r="200" spans="1:4" ht="12.75">
      <c r="A200" s="5" t="s">
        <v>698</v>
      </c>
      <c r="B200" s="4" t="s">
        <v>465</v>
      </c>
      <c r="C200" s="4">
        <v>0.25</v>
      </c>
      <c r="D200" s="29" t="s">
        <v>560</v>
      </c>
    </row>
    <row r="201" spans="1:4" ht="12.75">
      <c r="A201" s="5" t="s">
        <v>699</v>
      </c>
      <c r="B201" s="4" t="s">
        <v>465</v>
      </c>
      <c r="C201" s="4">
        <v>0.15</v>
      </c>
      <c r="D201" s="29" t="s">
        <v>560</v>
      </c>
    </row>
    <row r="202" spans="1:4" ht="12.75">
      <c r="A202" s="5" t="s">
        <v>426</v>
      </c>
      <c r="B202" s="4" t="s">
        <v>484</v>
      </c>
      <c r="C202" s="4">
        <v>1</v>
      </c>
      <c r="D202" s="29" t="s">
        <v>482</v>
      </c>
    </row>
    <row r="203" spans="1:4" ht="12.75">
      <c r="A203" s="5" t="s">
        <v>700</v>
      </c>
      <c r="B203" s="4" t="s">
        <v>517</v>
      </c>
      <c r="C203" s="4">
        <v>0.3</v>
      </c>
      <c r="D203" s="29" t="s">
        <v>482</v>
      </c>
    </row>
    <row r="204" spans="1:4" ht="12.75">
      <c r="A204" s="5" t="s">
        <v>701</v>
      </c>
      <c r="B204" s="4" t="s">
        <v>517</v>
      </c>
      <c r="C204" s="4">
        <v>10</v>
      </c>
      <c r="D204" s="29" t="s">
        <v>600</v>
      </c>
    </row>
    <row r="205" spans="1:4" ht="12.75">
      <c r="A205" s="5" t="s">
        <v>702</v>
      </c>
      <c r="B205" s="4" t="s">
        <v>494</v>
      </c>
      <c r="C205" s="4">
        <v>4</v>
      </c>
      <c r="D205" s="29" t="s">
        <v>482</v>
      </c>
    </row>
    <row r="206" spans="1:4" ht="12.75">
      <c r="A206" s="5" t="s">
        <v>703</v>
      </c>
      <c r="B206" s="4" t="s">
        <v>465</v>
      </c>
      <c r="C206" s="4">
        <v>0.02</v>
      </c>
      <c r="D206" s="29" t="s">
        <v>466</v>
      </c>
    </row>
    <row r="207" spans="1:4" ht="12.75">
      <c r="A207" s="5" t="s">
        <v>704</v>
      </c>
      <c r="B207" s="4" t="s">
        <v>473</v>
      </c>
      <c r="C207" s="4">
        <v>5</v>
      </c>
      <c r="D207" s="29" t="s">
        <v>469</v>
      </c>
    </row>
    <row r="208" spans="1:4" ht="12.75">
      <c r="A208" s="5" t="s">
        <v>705</v>
      </c>
      <c r="B208" s="4" t="s">
        <v>481</v>
      </c>
      <c r="C208" s="4">
        <v>45</v>
      </c>
      <c r="D208" s="29" t="s">
        <v>513</v>
      </c>
    </row>
    <row r="209" spans="1:4" ht="12.75">
      <c r="A209" s="5" t="s">
        <v>706</v>
      </c>
      <c r="B209" s="4" t="s">
        <v>567</v>
      </c>
      <c r="C209" s="4">
        <v>25000</v>
      </c>
      <c r="D209" s="29" t="s">
        <v>482</v>
      </c>
    </row>
    <row r="210" spans="1:4" ht="12.75">
      <c r="A210" s="5" t="s">
        <v>707</v>
      </c>
      <c r="B210" s="4" t="s">
        <v>468</v>
      </c>
      <c r="C210" s="4">
        <v>0.7</v>
      </c>
      <c r="D210" s="29" t="s">
        <v>482</v>
      </c>
    </row>
    <row r="211" spans="1:4" ht="12.75">
      <c r="A211" s="5" t="s">
        <v>708</v>
      </c>
      <c r="B211" s="4" t="s">
        <v>484</v>
      </c>
      <c r="C211" s="4">
        <v>15</v>
      </c>
      <c r="D211" s="29" t="s">
        <v>482</v>
      </c>
    </row>
    <row r="212" spans="1:4" ht="12.75">
      <c r="A212" s="5" t="s">
        <v>709</v>
      </c>
      <c r="B212" s="4" t="s">
        <v>567</v>
      </c>
      <c r="C212" s="4">
        <v>15000</v>
      </c>
      <c r="D212" s="29" t="s">
        <v>482</v>
      </c>
    </row>
    <row r="213" spans="1:4" ht="12.75">
      <c r="A213" s="5" t="s">
        <v>710</v>
      </c>
      <c r="B213" s="4" t="s">
        <v>484</v>
      </c>
      <c r="C213" s="4">
        <v>15</v>
      </c>
      <c r="D213" s="29" t="s">
        <v>482</v>
      </c>
    </row>
    <row r="214" spans="1:4" ht="12.75">
      <c r="A214" s="5" t="s">
        <v>711</v>
      </c>
      <c r="B214" s="4" t="s">
        <v>473</v>
      </c>
      <c r="C214" s="4">
        <v>140</v>
      </c>
      <c r="D214" s="29" t="s">
        <v>469</v>
      </c>
    </row>
    <row r="215" spans="1:4" ht="12.75">
      <c r="A215" s="5" t="s">
        <v>712</v>
      </c>
      <c r="B215" s="4" t="s">
        <v>473</v>
      </c>
      <c r="C215" s="4">
        <v>220</v>
      </c>
      <c r="D215" s="29" t="s">
        <v>469</v>
      </c>
    </row>
    <row r="216" spans="1:4" ht="12.75">
      <c r="A216" s="5" t="s">
        <v>713</v>
      </c>
      <c r="B216" s="4" t="s">
        <v>644</v>
      </c>
      <c r="C216" s="4">
        <v>10</v>
      </c>
      <c r="D216" s="29" t="s">
        <v>482</v>
      </c>
    </row>
    <row r="217" spans="1:4" ht="12.75">
      <c r="A217" s="5" t="s">
        <v>714</v>
      </c>
      <c r="B217" s="4" t="s">
        <v>473</v>
      </c>
      <c r="C217" s="4">
        <v>310</v>
      </c>
      <c r="D217" s="29" t="s">
        <v>469</v>
      </c>
    </row>
    <row r="218" spans="1:4" ht="12.75">
      <c r="A218" s="5" t="s">
        <v>715</v>
      </c>
      <c r="B218" s="4" t="s">
        <v>481</v>
      </c>
      <c r="C218" s="4">
        <v>35</v>
      </c>
      <c r="D218" s="29" t="s">
        <v>513</v>
      </c>
    </row>
    <row r="219" spans="1:4" ht="12.75">
      <c r="A219" s="5" t="s">
        <v>716</v>
      </c>
      <c r="B219" s="4" t="s">
        <v>486</v>
      </c>
      <c r="C219" s="4">
        <v>0.08</v>
      </c>
      <c r="D219" s="29" t="s">
        <v>487</v>
      </c>
    </row>
    <row r="220" spans="1:4" ht="12.75">
      <c r="A220" s="5" t="s">
        <v>717</v>
      </c>
      <c r="B220" s="4" t="s">
        <v>486</v>
      </c>
      <c r="C220" s="4">
        <v>0.3</v>
      </c>
      <c r="D220" s="29" t="s">
        <v>487</v>
      </c>
    </row>
    <row r="221" spans="1:4" ht="12.75">
      <c r="A221" s="5" t="s">
        <v>718</v>
      </c>
      <c r="B221" s="4" t="s">
        <v>465</v>
      </c>
      <c r="C221" s="4">
        <v>0.02</v>
      </c>
      <c r="D221" s="29" t="s">
        <v>466</v>
      </c>
    </row>
    <row r="222" spans="1:4" ht="12.75">
      <c r="A222" s="5" t="s">
        <v>719</v>
      </c>
      <c r="B222" s="4" t="s">
        <v>465</v>
      </c>
      <c r="C222" s="4">
        <v>0.8</v>
      </c>
      <c r="D222" s="29" t="s">
        <v>720</v>
      </c>
    </row>
    <row r="223" spans="1:4" ht="12.75">
      <c r="A223" s="5" t="s">
        <v>719</v>
      </c>
      <c r="B223" s="4" t="s">
        <v>465</v>
      </c>
      <c r="C223" s="4">
        <v>0.01</v>
      </c>
      <c r="D223" s="29" t="s">
        <v>466</v>
      </c>
    </row>
    <row r="224" spans="1:4" ht="12.75">
      <c r="A224" s="5" t="s">
        <v>722</v>
      </c>
      <c r="B224" s="4" t="s">
        <v>500</v>
      </c>
      <c r="C224" s="4">
        <v>2</v>
      </c>
      <c r="D224" s="29" t="s">
        <v>482</v>
      </c>
    </row>
    <row r="225" spans="1:4" ht="12.75">
      <c r="A225" s="5" t="s">
        <v>723</v>
      </c>
      <c r="B225" s="4" t="s">
        <v>500</v>
      </c>
      <c r="C225" s="4">
        <v>0.5</v>
      </c>
      <c r="D225" s="29" t="s">
        <v>482</v>
      </c>
    </row>
    <row r="226" spans="1:4" ht="12.75">
      <c r="A226" s="5" t="s">
        <v>925</v>
      </c>
      <c r="B226" s="4" t="s">
        <v>500</v>
      </c>
      <c r="C226" s="4">
        <v>1</v>
      </c>
      <c r="D226" s="29" t="s">
        <v>482</v>
      </c>
    </row>
    <row r="227" spans="1:4" ht="12.75">
      <c r="A227" s="5" t="s">
        <v>926</v>
      </c>
      <c r="B227" s="4" t="s">
        <v>517</v>
      </c>
      <c r="C227" s="4">
        <v>25</v>
      </c>
      <c r="D227" s="29" t="s">
        <v>482</v>
      </c>
    </row>
    <row r="228" spans="1:4" ht="12.75">
      <c r="A228" s="5" t="s">
        <v>927</v>
      </c>
      <c r="B228" s="4" t="s">
        <v>481</v>
      </c>
      <c r="C228" s="4">
        <v>1.4</v>
      </c>
      <c r="D228" s="29" t="s">
        <v>513</v>
      </c>
    </row>
    <row r="229" spans="1:4" ht="12.75">
      <c r="A229" s="5" t="s">
        <v>928</v>
      </c>
      <c r="B229" s="4" t="s">
        <v>481</v>
      </c>
      <c r="C229" s="4">
        <v>2</v>
      </c>
      <c r="D229" s="29" t="s">
        <v>513</v>
      </c>
    </row>
    <row r="230" spans="1:4" ht="12.75">
      <c r="A230" s="5" t="s">
        <v>929</v>
      </c>
      <c r="B230" s="4" t="s">
        <v>481</v>
      </c>
      <c r="C230" s="4">
        <v>1</v>
      </c>
      <c r="D230" s="29" t="s">
        <v>513</v>
      </c>
    </row>
    <row r="231" spans="1:4" ht="12.75">
      <c r="A231" s="5" t="s">
        <v>930</v>
      </c>
      <c r="B231" s="4" t="s">
        <v>590</v>
      </c>
      <c r="C231" s="4">
        <v>1.1</v>
      </c>
      <c r="D231" s="29" t="s">
        <v>482</v>
      </c>
    </row>
    <row r="232" spans="1:4" ht="12.75">
      <c r="A232" s="5" t="s">
        <v>931</v>
      </c>
      <c r="B232" s="4" t="s">
        <v>590</v>
      </c>
      <c r="C232" s="4">
        <v>1</v>
      </c>
      <c r="D232" s="29" t="s">
        <v>482</v>
      </c>
    </row>
    <row r="233" spans="1:4" ht="12.75">
      <c r="A233" s="5" t="s">
        <v>932</v>
      </c>
      <c r="B233" s="4" t="s">
        <v>590</v>
      </c>
      <c r="C233" s="4">
        <v>1.2</v>
      </c>
      <c r="D233" s="29" t="s">
        <v>482</v>
      </c>
    </row>
    <row r="234" spans="1:4" ht="12.75">
      <c r="A234" s="5" t="s">
        <v>933</v>
      </c>
      <c r="B234" s="4" t="s">
        <v>590</v>
      </c>
      <c r="C234" s="4">
        <v>4</v>
      </c>
      <c r="D234" s="29" t="s">
        <v>482</v>
      </c>
    </row>
    <row r="235" spans="1:4" ht="12.75">
      <c r="A235" s="5" t="s">
        <v>934</v>
      </c>
      <c r="B235" s="4" t="s">
        <v>590</v>
      </c>
      <c r="C235" s="4">
        <v>5.8</v>
      </c>
      <c r="D235" s="29" t="s">
        <v>482</v>
      </c>
    </row>
    <row r="236" spans="1:4" ht="12.75">
      <c r="A236" s="5" t="s">
        <v>935</v>
      </c>
      <c r="B236" s="4" t="s">
        <v>590</v>
      </c>
      <c r="C236" s="4">
        <v>0.8</v>
      </c>
      <c r="D236" s="29" t="s">
        <v>482</v>
      </c>
    </row>
    <row r="237" spans="1:4" ht="12.75">
      <c r="A237" s="5" t="s">
        <v>936</v>
      </c>
      <c r="B237" s="4" t="s">
        <v>468</v>
      </c>
      <c r="C237" s="4">
        <v>5</v>
      </c>
      <c r="D237" s="29" t="s">
        <v>466</v>
      </c>
    </row>
    <row r="238" spans="1:4" ht="12.75">
      <c r="A238" s="5" t="s">
        <v>937</v>
      </c>
      <c r="B238" s="4" t="s">
        <v>479</v>
      </c>
      <c r="C238" s="4">
        <v>0.1</v>
      </c>
      <c r="D238" s="29" t="s">
        <v>466</v>
      </c>
    </row>
    <row r="239" spans="1:4" ht="12.75">
      <c r="A239" s="5" t="s">
        <v>938</v>
      </c>
      <c r="B239" s="4" t="s">
        <v>479</v>
      </c>
      <c r="C239" s="4">
        <v>0.05</v>
      </c>
      <c r="D239" s="29" t="s">
        <v>466</v>
      </c>
    </row>
    <row r="240" spans="1:4" ht="12.75">
      <c r="A240" s="5" t="s">
        <v>939</v>
      </c>
      <c r="B240" s="4" t="s">
        <v>500</v>
      </c>
      <c r="C240" s="4">
        <v>0.02</v>
      </c>
      <c r="D240" s="29" t="s">
        <v>482</v>
      </c>
    </row>
    <row r="241" spans="1:4" ht="12.75">
      <c r="A241" s="5" t="s">
        <v>940</v>
      </c>
      <c r="B241" s="4" t="s">
        <v>491</v>
      </c>
      <c r="C241" s="4">
        <v>0.05</v>
      </c>
      <c r="D241" s="29" t="s">
        <v>482</v>
      </c>
    </row>
    <row r="242" spans="1:4" ht="12.75">
      <c r="A242" s="5" t="s">
        <v>941</v>
      </c>
      <c r="B242" s="4" t="s">
        <v>500</v>
      </c>
      <c r="C242" s="4">
        <v>4</v>
      </c>
      <c r="D242" s="29" t="s">
        <v>482</v>
      </c>
    </row>
    <row r="243" spans="1:4" ht="12.75">
      <c r="A243" s="5" t="s">
        <v>942</v>
      </c>
      <c r="B243" s="4" t="s">
        <v>500</v>
      </c>
      <c r="C243" s="4">
        <v>6</v>
      </c>
      <c r="D243" s="29" t="s">
        <v>482</v>
      </c>
    </row>
    <row r="244" spans="1:4" ht="12.75">
      <c r="A244" s="5" t="s">
        <v>943</v>
      </c>
      <c r="B244" s="4" t="s">
        <v>494</v>
      </c>
      <c r="C244" s="4">
        <v>100</v>
      </c>
      <c r="D244" s="29" t="s">
        <v>482</v>
      </c>
    </row>
    <row r="245" spans="1:4" ht="12.75">
      <c r="A245" s="5" t="s">
        <v>944</v>
      </c>
      <c r="B245" s="4" t="s">
        <v>500</v>
      </c>
      <c r="C245" s="4">
        <v>8</v>
      </c>
      <c r="D245" s="29" t="s">
        <v>482</v>
      </c>
    </row>
    <row r="246" spans="1:4" ht="12.75">
      <c r="A246" s="5" t="s">
        <v>945</v>
      </c>
      <c r="B246" s="4" t="s">
        <v>517</v>
      </c>
      <c r="C246" s="4">
        <v>2</v>
      </c>
      <c r="D246" s="29" t="s">
        <v>482</v>
      </c>
    </row>
    <row r="247" spans="1:4" ht="12.75">
      <c r="A247" s="5" t="s">
        <v>946</v>
      </c>
      <c r="B247" s="4" t="s">
        <v>644</v>
      </c>
      <c r="C247" s="4">
        <v>350</v>
      </c>
      <c r="D247" s="29" t="s">
        <v>482</v>
      </c>
    </row>
    <row r="248" spans="1:4" ht="12.75">
      <c r="A248" s="5" t="s">
        <v>947</v>
      </c>
      <c r="B248" s="4" t="s">
        <v>541</v>
      </c>
      <c r="C248" s="4">
        <v>0.3</v>
      </c>
      <c r="D248" s="29" t="s">
        <v>542</v>
      </c>
    </row>
    <row r="249" spans="1:4" ht="12.75">
      <c r="A249" s="5" t="s">
        <v>948</v>
      </c>
      <c r="B249" s="4" t="s">
        <v>500</v>
      </c>
      <c r="C249" s="4">
        <v>5</v>
      </c>
      <c r="D249" s="29" t="s">
        <v>466</v>
      </c>
    </row>
    <row r="250" spans="1:4" ht="12.75">
      <c r="A250" s="5" t="s">
        <v>949</v>
      </c>
      <c r="B250" s="4" t="s">
        <v>563</v>
      </c>
      <c r="C250" s="4">
        <v>750</v>
      </c>
      <c r="D250" s="29" t="s">
        <v>482</v>
      </c>
    </row>
    <row r="251" spans="1:4" ht="12.75">
      <c r="A251" s="5" t="s">
        <v>950</v>
      </c>
      <c r="B251" s="4" t="s">
        <v>500</v>
      </c>
      <c r="C251" s="4">
        <v>15</v>
      </c>
      <c r="D251" s="29" t="s">
        <v>482</v>
      </c>
    </row>
    <row r="252" spans="1:4" ht="12.75">
      <c r="A252" s="5" t="s">
        <v>951</v>
      </c>
      <c r="B252" s="4" t="s">
        <v>484</v>
      </c>
      <c r="C252" s="4">
        <v>1</v>
      </c>
      <c r="D252" s="29" t="s">
        <v>482</v>
      </c>
    </row>
    <row r="253" spans="1:4" ht="12.75">
      <c r="A253" s="5" t="s">
        <v>952</v>
      </c>
      <c r="B253" s="4" t="s">
        <v>500</v>
      </c>
      <c r="C253" s="4">
        <v>0.04</v>
      </c>
      <c r="D253" s="29" t="s">
        <v>482</v>
      </c>
    </row>
    <row r="254" spans="1:4" ht="12.75">
      <c r="A254" s="5" t="s">
        <v>953</v>
      </c>
      <c r="B254" s="4" t="s">
        <v>481</v>
      </c>
      <c r="C254" s="4">
        <v>25</v>
      </c>
      <c r="D254" s="29" t="s">
        <v>513</v>
      </c>
    </row>
    <row r="255" spans="1:4" ht="12.75">
      <c r="A255" s="5" t="s">
        <v>954</v>
      </c>
      <c r="B255" s="4" t="s">
        <v>523</v>
      </c>
      <c r="C255" s="4">
        <v>10</v>
      </c>
      <c r="D255" s="29" t="s">
        <v>482</v>
      </c>
    </row>
    <row r="256" spans="1:4" ht="12.75">
      <c r="A256" s="5" t="s">
        <v>955</v>
      </c>
      <c r="B256" s="4" t="s">
        <v>523</v>
      </c>
      <c r="C256" s="4">
        <v>6</v>
      </c>
      <c r="D256" s="29" t="s">
        <v>482</v>
      </c>
    </row>
    <row r="257" spans="1:4" ht="12.75">
      <c r="A257" s="5" t="s">
        <v>956</v>
      </c>
      <c r="B257" s="4" t="s">
        <v>517</v>
      </c>
      <c r="C257" s="4">
        <v>3</v>
      </c>
      <c r="D257" s="29" t="s">
        <v>482</v>
      </c>
    </row>
    <row r="258" spans="1:4" ht="12.75">
      <c r="A258" s="5" t="s">
        <v>957</v>
      </c>
      <c r="B258" s="4" t="s">
        <v>523</v>
      </c>
      <c r="C258" s="4">
        <v>10</v>
      </c>
      <c r="D258" s="29" t="s">
        <v>482</v>
      </c>
    </row>
    <row r="259" spans="1:4" ht="12.75">
      <c r="A259" s="5" t="s">
        <v>958</v>
      </c>
      <c r="B259" s="4" t="s">
        <v>523</v>
      </c>
      <c r="C259" s="4">
        <v>6</v>
      </c>
      <c r="D259" s="29" t="s">
        <v>482</v>
      </c>
    </row>
    <row r="260" spans="1:4" ht="12.75">
      <c r="A260" s="5" t="s">
        <v>959</v>
      </c>
      <c r="B260" s="4" t="s">
        <v>465</v>
      </c>
      <c r="C260" s="4">
        <v>0.02</v>
      </c>
      <c r="D260" s="29" t="s">
        <v>466</v>
      </c>
    </row>
    <row r="261" spans="1:4" ht="12.75">
      <c r="A261" s="5" t="s">
        <v>960</v>
      </c>
      <c r="B261" s="4" t="s">
        <v>465</v>
      </c>
      <c r="C261" s="4">
        <v>0.15</v>
      </c>
      <c r="D261" s="29" t="s">
        <v>466</v>
      </c>
    </row>
    <row r="262" spans="1:4" ht="12.75">
      <c r="A262" s="5" t="s">
        <v>961</v>
      </c>
      <c r="B262" s="4" t="s">
        <v>465</v>
      </c>
      <c r="C262" s="4">
        <v>0.08</v>
      </c>
      <c r="D262" s="29" t="s">
        <v>560</v>
      </c>
    </row>
    <row r="263" spans="1:4" ht="12.75">
      <c r="A263" s="5" t="s">
        <v>962</v>
      </c>
      <c r="B263" s="4" t="s">
        <v>465</v>
      </c>
      <c r="C263" s="4">
        <v>0.4</v>
      </c>
      <c r="D263" s="29" t="s">
        <v>560</v>
      </c>
    </row>
    <row r="264" spans="1:4" ht="12.75">
      <c r="A264" s="5" t="s">
        <v>963</v>
      </c>
      <c r="B264" s="4" t="s">
        <v>465</v>
      </c>
      <c r="C264" s="4">
        <v>0.16</v>
      </c>
      <c r="D264" s="29" t="s">
        <v>560</v>
      </c>
    </row>
    <row r="265" spans="1:4" ht="12.75">
      <c r="A265" s="5" t="s">
        <v>964</v>
      </c>
      <c r="B265" s="4" t="s">
        <v>465</v>
      </c>
      <c r="C265" s="4">
        <v>0.2</v>
      </c>
      <c r="D265" s="29" t="s">
        <v>466</v>
      </c>
    </row>
    <row r="266" spans="1:4" ht="12.75">
      <c r="A266" s="5" t="s">
        <v>965</v>
      </c>
      <c r="B266" s="4" t="s">
        <v>486</v>
      </c>
      <c r="C266" s="4">
        <v>0.1</v>
      </c>
      <c r="D266" s="29" t="s">
        <v>487</v>
      </c>
    </row>
    <row r="267" spans="1:4" ht="12.75">
      <c r="A267" s="5" t="s">
        <v>966</v>
      </c>
      <c r="B267" s="4" t="s">
        <v>486</v>
      </c>
      <c r="C267" s="4">
        <v>0.01</v>
      </c>
      <c r="D267" s="29" t="s">
        <v>487</v>
      </c>
    </row>
    <row r="268" spans="1:4" ht="12.75">
      <c r="A268" s="5" t="s">
        <v>967</v>
      </c>
      <c r="B268" s="4" t="s">
        <v>644</v>
      </c>
      <c r="C268" s="4">
        <v>8</v>
      </c>
      <c r="D268" s="29" t="s">
        <v>482</v>
      </c>
    </row>
    <row r="269" spans="1:4" ht="12.75">
      <c r="A269" s="5" t="s">
        <v>968</v>
      </c>
      <c r="B269" s="4" t="s">
        <v>465</v>
      </c>
      <c r="C269" s="4">
        <v>0.01</v>
      </c>
      <c r="D269" s="29" t="s">
        <v>466</v>
      </c>
    </row>
    <row r="270" spans="1:4" ht="12.75">
      <c r="A270" s="5" t="s">
        <v>969</v>
      </c>
      <c r="B270" s="4" t="s">
        <v>486</v>
      </c>
      <c r="C270" s="4">
        <v>0.09</v>
      </c>
      <c r="D270" s="29" t="s">
        <v>487</v>
      </c>
    </row>
    <row r="271" spans="1:4" ht="12.75">
      <c r="A271" s="5" t="s">
        <v>970</v>
      </c>
      <c r="B271" s="4" t="s">
        <v>500</v>
      </c>
      <c r="C271" s="4">
        <v>10</v>
      </c>
      <c r="D271" s="29" t="s">
        <v>482</v>
      </c>
    </row>
    <row r="272" spans="1:4" ht="12.75">
      <c r="A272" s="5" t="s">
        <v>971</v>
      </c>
      <c r="B272" s="4" t="s">
        <v>500</v>
      </c>
      <c r="C272" s="4">
        <v>3</v>
      </c>
      <c r="D272" s="29" t="s">
        <v>482</v>
      </c>
    </row>
    <row r="273" spans="1:4" ht="12.75">
      <c r="A273" s="5" t="s">
        <v>972</v>
      </c>
      <c r="B273" s="4" t="s">
        <v>500</v>
      </c>
      <c r="C273" s="4">
        <v>1</v>
      </c>
      <c r="D273" s="29" t="s">
        <v>482</v>
      </c>
    </row>
    <row r="274" spans="1:4" ht="12.75">
      <c r="A274" s="5" t="s">
        <v>973</v>
      </c>
      <c r="B274" s="4" t="s">
        <v>500</v>
      </c>
      <c r="C274" s="4">
        <v>0.01</v>
      </c>
      <c r="D274" s="29" t="s">
        <v>482</v>
      </c>
    </row>
    <row r="275" spans="1:4" ht="12.75">
      <c r="A275" s="5" t="s">
        <v>974</v>
      </c>
      <c r="B275" s="4" t="s">
        <v>481</v>
      </c>
      <c r="C275" s="4">
        <v>0.02</v>
      </c>
      <c r="D275" s="29" t="s">
        <v>635</v>
      </c>
    </row>
    <row r="276" spans="1:4" ht="12.75">
      <c r="A276" s="5" t="s">
        <v>975</v>
      </c>
      <c r="B276" s="4" t="s">
        <v>644</v>
      </c>
      <c r="C276" s="4">
        <v>1000</v>
      </c>
      <c r="D276" s="29" t="s">
        <v>482</v>
      </c>
    </row>
    <row r="277" spans="1:4" ht="12.75">
      <c r="A277" s="5" t="s">
        <v>976</v>
      </c>
      <c r="B277" s="4" t="s">
        <v>494</v>
      </c>
      <c r="C277" s="4">
        <v>19</v>
      </c>
      <c r="D277" s="29" t="s">
        <v>482</v>
      </c>
    </row>
    <row r="278" spans="1:4" ht="12.75">
      <c r="A278" s="5" t="s">
        <v>977</v>
      </c>
      <c r="B278" s="4" t="s">
        <v>494</v>
      </c>
      <c r="C278" s="4">
        <v>5</v>
      </c>
      <c r="D278" s="29" t="s">
        <v>482</v>
      </c>
    </row>
    <row r="279" spans="1:4" ht="12.75">
      <c r="A279" s="5" t="s">
        <v>978</v>
      </c>
      <c r="B279" s="4" t="s">
        <v>481</v>
      </c>
      <c r="C279" s="4">
        <v>3.5</v>
      </c>
      <c r="D279" s="29" t="s">
        <v>513</v>
      </c>
    </row>
    <row r="280" spans="1:4" ht="12.75">
      <c r="A280" s="5" t="s">
        <v>979</v>
      </c>
      <c r="B280" s="4" t="s">
        <v>517</v>
      </c>
      <c r="C280" s="4">
        <v>12</v>
      </c>
      <c r="D280" s="29" t="s">
        <v>482</v>
      </c>
    </row>
    <row r="281" spans="1:4" ht="12.75">
      <c r="A281" s="5" t="s">
        <v>445</v>
      </c>
      <c r="B281" s="4" t="s">
        <v>484</v>
      </c>
      <c r="C281" s="4">
        <v>30</v>
      </c>
      <c r="D281" s="29" t="s">
        <v>482</v>
      </c>
    </row>
    <row r="282" spans="1:4" ht="12.75">
      <c r="A282" s="5" t="s">
        <v>980</v>
      </c>
      <c r="B282" s="4" t="s">
        <v>481</v>
      </c>
      <c r="C282" s="4">
        <v>0.8</v>
      </c>
      <c r="D282" s="29" t="s">
        <v>513</v>
      </c>
    </row>
    <row r="283" spans="1:4" ht="12.75">
      <c r="A283" s="5" t="s">
        <v>981</v>
      </c>
      <c r="B283" s="4" t="s">
        <v>500</v>
      </c>
      <c r="C283" s="4">
        <v>10</v>
      </c>
      <c r="D283" s="29" t="s">
        <v>482</v>
      </c>
    </row>
    <row r="284" spans="1:4" ht="12.75">
      <c r="A284" s="5" t="s">
        <v>982</v>
      </c>
      <c r="B284" s="4" t="s">
        <v>500</v>
      </c>
      <c r="C284" s="4">
        <v>75</v>
      </c>
      <c r="D284" s="29" t="s">
        <v>482</v>
      </c>
    </row>
    <row r="285" spans="1:4" ht="12.75">
      <c r="A285" s="5" t="s">
        <v>983</v>
      </c>
      <c r="B285" s="4" t="s">
        <v>500</v>
      </c>
      <c r="C285" s="4">
        <v>15</v>
      </c>
      <c r="D285" s="29" t="s">
        <v>482</v>
      </c>
    </row>
    <row r="286" spans="1:4" ht="12.75">
      <c r="A286" s="5" t="s">
        <v>984</v>
      </c>
      <c r="B286" s="4" t="s">
        <v>500</v>
      </c>
      <c r="C286" s="4">
        <v>50</v>
      </c>
      <c r="D286" s="29" t="s">
        <v>482</v>
      </c>
    </row>
    <row r="287" spans="1:4" ht="12.75">
      <c r="A287" s="5" t="s">
        <v>985</v>
      </c>
      <c r="B287" s="4" t="s">
        <v>500</v>
      </c>
      <c r="C287" s="4">
        <v>2</v>
      </c>
      <c r="D287" s="29" t="s">
        <v>482</v>
      </c>
    </row>
    <row r="288" spans="1:4" ht="12.75">
      <c r="A288" s="5" t="s">
        <v>986</v>
      </c>
      <c r="B288" s="4" t="s">
        <v>500</v>
      </c>
      <c r="C288" s="4">
        <v>3</v>
      </c>
      <c r="D288" s="29" t="s">
        <v>482</v>
      </c>
    </row>
    <row r="289" spans="1:4" ht="12.75">
      <c r="A289" s="5" t="s">
        <v>987</v>
      </c>
      <c r="B289" s="4" t="s">
        <v>500</v>
      </c>
      <c r="C289" s="4">
        <v>5</v>
      </c>
      <c r="D289" s="29" t="s">
        <v>482</v>
      </c>
    </row>
    <row r="290" spans="1:4" ht="12.75">
      <c r="A290" s="5" t="s">
        <v>988</v>
      </c>
      <c r="B290" s="4" t="s">
        <v>590</v>
      </c>
      <c r="C290" s="4">
        <v>4</v>
      </c>
      <c r="D290" s="29" t="s">
        <v>600</v>
      </c>
    </row>
    <row r="291" spans="1:4" ht="12.75">
      <c r="A291" s="5" t="s">
        <v>989</v>
      </c>
      <c r="B291" s="4" t="s">
        <v>590</v>
      </c>
      <c r="C291" s="4">
        <v>0.1</v>
      </c>
      <c r="D291" s="29" t="s">
        <v>600</v>
      </c>
    </row>
    <row r="292" spans="1:4" ht="12.75">
      <c r="A292" s="5" t="s">
        <v>990</v>
      </c>
      <c r="B292" s="4" t="s">
        <v>590</v>
      </c>
      <c r="C292" s="4">
        <v>0.07</v>
      </c>
      <c r="D292" s="29" t="s">
        <v>600</v>
      </c>
    </row>
    <row r="293" spans="1:4" ht="12.75">
      <c r="A293" s="5" t="s">
        <v>991</v>
      </c>
      <c r="B293" s="4" t="s">
        <v>590</v>
      </c>
      <c r="C293" s="4">
        <v>0.4</v>
      </c>
      <c r="D293" s="29" t="s">
        <v>600</v>
      </c>
    </row>
    <row r="294" spans="1:4" ht="12.75">
      <c r="A294" s="5" t="s">
        <v>993</v>
      </c>
      <c r="B294" s="4" t="s">
        <v>473</v>
      </c>
      <c r="C294" s="4">
        <v>900</v>
      </c>
      <c r="D294" s="29" t="s">
        <v>469</v>
      </c>
    </row>
    <row r="295" spans="1:4" ht="12.75">
      <c r="A295" s="5" t="s">
        <v>994</v>
      </c>
      <c r="B295" s="4" t="s">
        <v>465</v>
      </c>
      <c r="C295" s="4">
        <v>0.3</v>
      </c>
      <c r="D295" s="29" t="s">
        <v>466</v>
      </c>
    </row>
    <row r="296" spans="1:4" ht="12.75">
      <c r="A296" s="5" t="s">
        <v>995</v>
      </c>
      <c r="B296" s="4" t="s">
        <v>500</v>
      </c>
      <c r="C296" s="4">
        <v>0.6</v>
      </c>
      <c r="D296" s="29" t="s">
        <v>482</v>
      </c>
    </row>
    <row r="297" spans="1:4" ht="12.75">
      <c r="A297" s="5" t="s">
        <v>996</v>
      </c>
      <c r="B297" s="4" t="s">
        <v>500</v>
      </c>
      <c r="C297" s="4">
        <v>1</v>
      </c>
      <c r="D297" s="29" t="s">
        <v>482</v>
      </c>
    </row>
    <row r="298" spans="1:4" ht="12.75">
      <c r="A298" s="5" t="s">
        <v>997</v>
      </c>
      <c r="B298" s="4" t="s">
        <v>500</v>
      </c>
      <c r="C298" s="4">
        <v>1.3</v>
      </c>
      <c r="D298" s="29" t="s">
        <v>482</v>
      </c>
    </row>
    <row r="299" spans="1:4" ht="12.75">
      <c r="A299" s="5" t="s">
        <v>998</v>
      </c>
      <c r="B299" s="4" t="s">
        <v>563</v>
      </c>
      <c r="C299" s="4">
        <v>2000</v>
      </c>
      <c r="D299" s="29" t="s">
        <v>482</v>
      </c>
    </row>
    <row r="300" spans="1:4" ht="12.75">
      <c r="A300" s="5" t="s">
        <v>999</v>
      </c>
      <c r="B300" s="4" t="s">
        <v>473</v>
      </c>
      <c r="C300" s="4">
        <v>1050</v>
      </c>
      <c r="D300" s="29" t="s">
        <v>469</v>
      </c>
    </row>
    <row r="301" spans="1:4" ht="12.75">
      <c r="A301" s="5" t="s">
        <v>1000</v>
      </c>
      <c r="B301" s="4" t="s">
        <v>500</v>
      </c>
      <c r="C301" s="4">
        <v>1000</v>
      </c>
      <c r="D301" s="29" t="s">
        <v>482</v>
      </c>
    </row>
    <row r="302" spans="1:4" ht="12.75">
      <c r="A302" s="5" t="s">
        <v>1001</v>
      </c>
      <c r="B302" s="4" t="s">
        <v>465</v>
      </c>
      <c r="C302" s="4">
        <v>0.01</v>
      </c>
      <c r="D302" s="29" t="s">
        <v>1002</v>
      </c>
    </row>
    <row r="303" spans="1:4" ht="12.75">
      <c r="A303" s="5" t="s">
        <v>1003</v>
      </c>
      <c r="B303" s="4" t="s">
        <v>500</v>
      </c>
      <c r="C303" s="4">
        <v>0.5</v>
      </c>
      <c r="D303" s="29" t="s">
        <v>1004</v>
      </c>
    </row>
    <row r="304" spans="1:4" ht="12.75">
      <c r="A304" s="5" t="s">
        <v>1005</v>
      </c>
      <c r="B304" s="4" t="s">
        <v>475</v>
      </c>
      <c r="C304" s="4">
        <v>100</v>
      </c>
      <c r="D304" s="29" t="s">
        <v>476</v>
      </c>
    </row>
    <row r="305" spans="1:4" ht="12.75">
      <c r="A305" s="5" t="s">
        <v>1006</v>
      </c>
      <c r="B305" s="4" t="s">
        <v>486</v>
      </c>
      <c r="C305" s="4">
        <v>0.03</v>
      </c>
      <c r="D305" s="29" t="s">
        <v>487</v>
      </c>
    </row>
    <row r="306" spans="1:4" ht="12.75">
      <c r="A306" s="5" t="s">
        <v>1007</v>
      </c>
      <c r="B306" s="4" t="s">
        <v>541</v>
      </c>
      <c r="C306" s="4">
        <v>0.06</v>
      </c>
      <c r="D306" s="29" t="s">
        <v>542</v>
      </c>
    </row>
    <row r="307" spans="1:4" ht="12.75">
      <c r="A307" s="5" t="s">
        <v>1008</v>
      </c>
      <c r="B307" s="4" t="s">
        <v>481</v>
      </c>
      <c r="C307" s="4">
        <v>0.3</v>
      </c>
      <c r="D307" s="29" t="s">
        <v>513</v>
      </c>
    </row>
    <row r="308" spans="1:4" ht="12.75">
      <c r="A308" s="5" t="s">
        <v>1009</v>
      </c>
      <c r="B308" s="4" t="s">
        <v>541</v>
      </c>
      <c r="C308" s="4">
        <v>0.02</v>
      </c>
      <c r="D308" s="29" t="s">
        <v>542</v>
      </c>
    </row>
    <row r="309" spans="1:4" ht="12.75">
      <c r="A309" s="5" t="s">
        <v>1010</v>
      </c>
      <c r="B309" s="4" t="s">
        <v>465</v>
      </c>
      <c r="C309" s="4">
        <v>0.03</v>
      </c>
      <c r="D309" s="29" t="s">
        <v>466</v>
      </c>
    </row>
    <row r="310" spans="1:4" ht="12.75">
      <c r="A310" s="5" t="s">
        <v>1011</v>
      </c>
      <c r="B310" s="4" t="s">
        <v>465</v>
      </c>
      <c r="C310" s="4">
        <v>0.04</v>
      </c>
      <c r="D310" s="29" t="s">
        <v>466</v>
      </c>
    </row>
    <row r="311" spans="1:4" ht="12.75">
      <c r="A311" s="5" t="s">
        <v>1012</v>
      </c>
      <c r="B311" s="4" t="s">
        <v>494</v>
      </c>
      <c r="C311" s="4">
        <v>5</v>
      </c>
      <c r="D311" s="29" t="s">
        <v>482</v>
      </c>
    </row>
    <row r="312" spans="1:4" ht="12.75">
      <c r="A312" s="5" t="s">
        <v>1013</v>
      </c>
      <c r="B312" s="4" t="s">
        <v>484</v>
      </c>
      <c r="C312" s="4">
        <v>15</v>
      </c>
      <c r="D312" s="29" t="s">
        <v>482</v>
      </c>
    </row>
    <row r="313" spans="1:4" ht="12.75">
      <c r="A313" s="5" t="s">
        <v>1014</v>
      </c>
      <c r="B313" s="4" t="s">
        <v>484</v>
      </c>
      <c r="C313" s="4">
        <v>8</v>
      </c>
      <c r="D313" s="29" t="s">
        <v>482</v>
      </c>
    </row>
    <row r="314" spans="1:4" ht="12.75">
      <c r="A314" s="5" t="s">
        <v>1015</v>
      </c>
      <c r="B314" s="4" t="s">
        <v>494</v>
      </c>
      <c r="C314" s="4">
        <v>2</v>
      </c>
      <c r="D314" s="29" t="s">
        <v>482</v>
      </c>
    </row>
    <row r="315" spans="1:4" ht="12.75">
      <c r="A315" s="5" t="s">
        <v>1016</v>
      </c>
      <c r="B315" s="4" t="s">
        <v>484</v>
      </c>
      <c r="C315" s="4">
        <v>6</v>
      </c>
      <c r="D315" s="29" t="s">
        <v>482</v>
      </c>
    </row>
    <row r="316" spans="1:4" ht="12.75">
      <c r="A316" s="5" t="s">
        <v>1017</v>
      </c>
      <c r="B316" s="4" t="s">
        <v>567</v>
      </c>
      <c r="C316" s="4">
        <v>100</v>
      </c>
      <c r="D316" s="29" t="s">
        <v>482</v>
      </c>
    </row>
    <row r="317" spans="1:4" ht="12.75">
      <c r="A317" s="5" t="s">
        <v>1018</v>
      </c>
      <c r="B317" s="4" t="s">
        <v>486</v>
      </c>
      <c r="C317" s="4">
        <v>0.02</v>
      </c>
      <c r="D317" s="29" t="s">
        <v>487</v>
      </c>
    </row>
    <row r="318" spans="1:4" ht="12.75">
      <c r="A318" s="5" t="s">
        <v>1019</v>
      </c>
      <c r="B318" s="4" t="s">
        <v>465</v>
      </c>
      <c r="C318" s="4">
        <v>0.01</v>
      </c>
      <c r="D318" s="29" t="s">
        <v>466</v>
      </c>
    </row>
    <row r="319" spans="1:4" ht="12.75">
      <c r="A319" s="5" t="s">
        <v>1020</v>
      </c>
      <c r="B319" s="4" t="s">
        <v>481</v>
      </c>
      <c r="C319" s="4">
        <v>2</v>
      </c>
      <c r="D319" s="29" t="s">
        <v>513</v>
      </c>
    </row>
    <row r="320" spans="1:4" ht="12.75">
      <c r="A320" s="5" t="s">
        <v>1021</v>
      </c>
      <c r="B320" s="4" t="s">
        <v>465</v>
      </c>
      <c r="C320" s="4">
        <v>0.1</v>
      </c>
      <c r="D320" s="29" t="s">
        <v>466</v>
      </c>
    </row>
    <row r="321" spans="1:4" ht="12.75">
      <c r="A321" s="5" t="s">
        <v>1022</v>
      </c>
      <c r="B321" s="4" t="s">
        <v>465</v>
      </c>
      <c r="C321" s="4">
        <v>1.2</v>
      </c>
      <c r="D321" s="29" t="s">
        <v>466</v>
      </c>
    </row>
    <row r="322" spans="1:4" ht="12.75">
      <c r="A322" s="5" t="s">
        <v>1023</v>
      </c>
      <c r="B322" s="4" t="s">
        <v>465</v>
      </c>
      <c r="C322" s="4">
        <v>0.05</v>
      </c>
      <c r="D322" s="29" t="s">
        <v>560</v>
      </c>
    </row>
    <row r="323" spans="1:4" ht="12.75">
      <c r="A323" s="5" t="s">
        <v>1024</v>
      </c>
      <c r="B323" s="4" t="s">
        <v>465</v>
      </c>
      <c r="C323" s="4">
        <v>0.4</v>
      </c>
      <c r="D323" s="29" t="s">
        <v>560</v>
      </c>
    </row>
    <row r="324" spans="1:4" ht="12.75">
      <c r="A324" s="5" t="s">
        <v>1025</v>
      </c>
      <c r="B324" s="4" t="s">
        <v>465</v>
      </c>
      <c r="C324" s="4">
        <v>2.8</v>
      </c>
      <c r="D324" s="29" t="s">
        <v>560</v>
      </c>
    </row>
    <row r="325" spans="1:4" ht="12.75">
      <c r="A325" s="5" t="s">
        <v>1026</v>
      </c>
      <c r="B325" s="4" t="s">
        <v>465</v>
      </c>
      <c r="C325" s="4">
        <v>0.2</v>
      </c>
      <c r="D325" s="29" t="s">
        <v>560</v>
      </c>
    </row>
    <row r="326" spans="1:4" ht="12.75">
      <c r="A326" s="5" t="s">
        <v>1027</v>
      </c>
      <c r="B326" s="4" t="s">
        <v>541</v>
      </c>
      <c r="C326" s="4">
        <v>10.4</v>
      </c>
      <c r="D326" s="29" t="s">
        <v>542</v>
      </c>
    </row>
    <row r="327" spans="1:4" ht="12.75">
      <c r="A327" s="5" t="s">
        <v>1028</v>
      </c>
      <c r="B327" s="4" t="s">
        <v>481</v>
      </c>
      <c r="C327" s="4">
        <v>0.01</v>
      </c>
      <c r="D327" s="29" t="s">
        <v>635</v>
      </c>
    </row>
    <row r="328" spans="1:4" ht="12.75">
      <c r="A328" s="5" t="s">
        <v>1029</v>
      </c>
      <c r="B328" s="4" t="s">
        <v>481</v>
      </c>
      <c r="C328" s="4">
        <v>0.02</v>
      </c>
      <c r="D328" s="29" t="s">
        <v>635</v>
      </c>
    </row>
    <row r="329" spans="1:4" ht="12.75">
      <c r="A329" s="5" t="s">
        <v>1030</v>
      </c>
      <c r="B329" s="4" t="s">
        <v>481</v>
      </c>
      <c r="C329" s="4">
        <v>0.03</v>
      </c>
      <c r="D329" s="29" t="s">
        <v>635</v>
      </c>
    </row>
    <row r="330" spans="1:4" ht="12.75">
      <c r="A330" s="5" t="s">
        <v>1031</v>
      </c>
      <c r="B330" s="4" t="s">
        <v>644</v>
      </c>
      <c r="C330" s="4">
        <v>0.05</v>
      </c>
      <c r="D330" s="29" t="s">
        <v>482</v>
      </c>
    </row>
    <row r="331" spans="1:4" ht="12.75">
      <c r="A331" s="5" t="s">
        <v>1032</v>
      </c>
      <c r="B331" s="4" t="s">
        <v>481</v>
      </c>
      <c r="C331" s="4">
        <v>0.1</v>
      </c>
      <c r="D331" s="29" t="s">
        <v>635</v>
      </c>
    </row>
    <row r="332" spans="1:4" ht="12.75">
      <c r="A332" s="5" t="s">
        <v>1033</v>
      </c>
      <c r="B332" s="4" t="s">
        <v>481</v>
      </c>
      <c r="C332" s="4">
        <v>0.2</v>
      </c>
      <c r="D332" s="29" t="s">
        <v>635</v>
      </c>
    </row>
    <row r="333" spans="1:4" ht="12.75">
      <c r="A333" s="5" t="s">
        <v>1034</v>
      </c>
      <c r="B333" s="4" t="s">
        <v>481</v>
      </c>
      <c r="C333" s="4">
        <v>0.3</v>
      </c>
      <c r="D333" s="29" t="s">
        <v>635</v>
      </c>
    </row>
    <row r="334" spans="1:4" ht="12.75">
      <c r="A334" s="5" t="s">
        <v>1035</v>
      </c>
      <c r="B334" s="4" t="s">
        <v>500</v>
      </c>
      <c r="C334" s="4">
        <v>25</v>
      </c>
      <c r="D334" s="29" t="s">
        <v>482</v>
      </c>
    </row>
    <row r="335" spans="1:4" ht="12.75">
      <c r="A335" s="5" t="s">
        <v>1036</v>
      </c>
      <c r="B335" s="4" t="s">
        <v>500</v>
      </c>
      <c r="C335" s="4">
        <v>2</v>
      </c>
      <c r="D335" s="29" t="s">
        <v>482</v>
      </c>
    </row>
    <row r="336" spans="1:4" ht="12.75">
      <c r="A336" s="5" t="s">
        <v>1037</v>
      </c>
      <c r="B336" s="4" t="s">
        <v>500</v>
      </c>
      <c r="C336" s="4">
        <v>5</v>
      </c>
      <c r="D336" s="29" t="s">
        <v>482</v>
      </c>
    </row>
    <row r="337" spans="1:4" ht="12.75">
      <c r="A337" s="5" t="s">
        <v>1038</v>
      </c>
      <c r="B337" s="4" t="s">
        <v>500</v>
      </c>
      <c r="C337" s="4">
        <v>7</v>
      </c>
      <c r="D337" s="29" t="s">
        <v>482</v>
      </c>
    </row>
    <row r="338" spans="1:4" ht="12.75">
      <c r="A338" s="5" t="s">
        <v>1039</v>
      </c>
      <c r="B338" s="4" t="s">
        <v>500</v>
      </c>
      <c r="C338" s="4">
        <v>30</v>
      </c>
      <c r="D338" s="29" t="s">
        <v>482</v>
      </c>
    </row>
    <row r="339" spans="1:4" ht="12.75">
      <c r="A339" s="5" t="s">
        <v>1040</v>
      </c>
      <c r="B339" s="4" t="s">
        <v>500</v>
      </c>
      <c r="C339" s="4">
        <v>15</v>
      </c>
      <c r="D339" s="29" t="s">
        <v>482</v>
      </c>
    </row>
    <row r="340" spans="1:4" ht="12.75">
      <c r="A340" s="5" t="s">
        <v>1041</v>
      </c>
      <c r="B340" s="4" t="s">
        <v>500</v>
      </c>
      <c r="C340" s="4">
        <v>0.8</v>
      </c>
      <c r="D340" s="29" t="s">
        <v>482</v>
      </c>
    </row>
    <row r="341" spans="1:4" ht="12.75">
      <c r="A341" s="5" t="s">
        <v>1042</v>
      </c>
      <c r="B341" s="4" t="s">
        <v>484</v>
      </c>
      <c r="C341" s="4">
        <v>8</v>
      </c>
      <c r="D341" s="29" t="s">
        <v>482</v>
      </c>
    </row>
    <row r="342" spans="1:4" ht="12.75">
      <c r="A342" s="5" t="s">
        <v>1043</v>
      </c>
      <c r="B342" s="4" t="s">
        <v>567</v>
      </c>
      <c r="C342" s="4">
        <v>30000</v>
      </c>
      <c r="D342" s="29" t="s">
        <v>482</v>
      </c>
    </row>
    <row r="343" spans="1:4" ht="12.75">
      <c r="A343" s="5" t="s">
        <v>1044</v>
      </c>
      <c r="B343" s="4" t="s">
        <v>567</v>
      </c>
      <c r="C343" s="4">
        <v>10</v>
      </c>
      <c r="D343" s="29" t="s">
        <v>482</v>
      </c>
    </row>
    <row r="344" spans="1:4" ht="12.75">
      <c r="A344" s="5" t="s">
        <v>1045</v>
      </c>
      <c r="B344" s="4" t="s">
        <v>473</v>
      </c>
      <c r="C344" s="4">
        <v>1790</v>
      </c>
      <c r="D344" s="29" t="s">
        <v>469</v>
      </c>
    </row>
    <row r="345" spans="1:4" ht="12.75">
      <c r="A345" s="5" t="s">
        <v>1046</v>
      </c>
      <c r="B345" s="4" t="s">
        <v>567</v>
      </c>
      <c r="C345" s="4">
        <v>50000</v>
      </c>
      <c r="D345" s="29" t="s">
        <v>482</v>
      </c>
    </row>
    <row r="346" spans="1:4" ht="12.75">
      <c r="A346" s="5" t="s">
        <v>1047</v>
      </c>
      <c r="B346" s="4" t="s">
        <v>644</v>
      </c>
      <c r="C346" s="4">
        <v>0.05</v>
      </c>
      <c r="D346" s="29" t="s">
        <v>482</v>
      </c>
    </row>
    <row r="347" spans="1:4" ht="12.75">
      <c r="A347" s="5" t="s">
        <v>1048</v>
      </c>
      <c r="B347" s="4" t="s">
        <v>481</v>
      </c>
      <c r="C347" s="4">
        <v>0.2</v>
      </c>
      <c r="D347" s="29" t="s">
        <v>513</v>
      </c>
    </row>
    <row r="348" spans="1:4" ht="12.75">
      <c r="A348" s="5" t="s">
        <v>1049</v>
      </c>
      <c r="B348" s="4" t="s">
        <v>481</v>
      </c>
      <c r="C348" s="4">
        <v>4</v>
      </c>
      <c r="D348" s="29" t="s">
        <v>513</v>
      </c>
    </row>
    <row r="349" spans="1:4" ht="12.75">
      <c r="A349" s="5" t="s">
        <v>1050</v>
      </c>
      <c r="B349" s="4" t="s">
        <v>465</v>
      </c>
      <c r="C349" s="4">
        <v>0.06</v>
      </c>
      <c r="D349" s="29" t="s">
        <v>466</v>
      </c>
    </row>
    <row r="350" spans="1:4" ht="12.75">
      <c r="A350" s="5" t="s">
        <v>1051</v>
      </c>
      <c r="B350" s="4" t="s">
        <v>465</v>
      </c>
      <c r="C350" s="4">
        <v>0.33</v>
      </c>
      <c r="D350" s="29" t="s">
        <v>466</v>
      </c>
    </row>
    <row r="351" spans="1:4" ht="12.75">
      <c r="A351" s="5" t="s">
        <v>1055</v>
      </c>
      <c r="B351" s="4" t="s">
        <v>465</v>
      </c>
      <c r="C351" s="4">
        <v>2.1</v>
      </c>
      <c r="D351" s="29" t="s">
        <v>466</v>
      </c>
    </row>
    <row r="352" spans="1:4" ht="12.75">
      <c r="A352" s="5" t="s">
        <v>1056</v>
      </c>
      <c r="B352" s="4" t="s">
        <v>465</v>
      </c>
      <c r="C352" s="4">
        <v>0.15</v>
      </c>
      <c r="D352" s="29" t="s">
        <v>466</v>
      </c>
    </row>
    <row r="353" spans="1:4" ht="12.75">
      <c r="A353" s="5" t="s">
        <v>1057</v>
      </c>
      <c r="B353" s="4" t="s">
        <v>644</v>
      </c>
      <c r="C353" s="4">
        <v>1.5</v>
      </c>
      <c r="D353" s="29" t="s">
        <v>482</v>
      </c>
    </row>
    <row r="354" spans="1:4" ht="12.75">
      <c r="A354" s="5" t="s">
        <v>1058</v>
      </c>
      <c r="B354" s="4" t="s">
        <v>465</v>
      </c>
      <c r="C354" s="4">
        <v>0.01</v>
      </c>
      <c r="D354" s="29" t="s">
        <v>466</v>
      </c>
    </row>
    <row r="355" spans="1:4" ht="12.75">
      <c r="A355" s="5" t="s">
        <v>1059</v>
      </c>
      <c r="B355" s="4" t="s">
        <v>473</v>
      </c>
      <c r="C355" s="4">
        <v>900</v>
      </c>
      <c r="D355" s="29" t="s">
        <v>469</v>
      </c>
    </row>
    <row r="356" spans="1:4" ht="12.75">
      <c r="A356" s="5" t="s">
        <v>1060</v>
      </c>
      <c r="B356" s="4" t="s">
        <v>484</v>
      </c>
      <c r="C356" s="4">
        <v>1</v>
      </c>
      <c r="D356" s="29" t="s">
        <v>482</v>
      </c>
    </row>
    <row r="357" spans="1:4" ht="12.75">
      <c r="A357" s="5" t="s">
        <v>1061</v>
      </c>
      <c r="B357" s="4" t="s">
        <v>481</v>
      </c>
      <c r="C357" s="4">
        <v>10</v>
      </c>
      <c r="D357" s="29" t="s">
        <v>513</v>
      </c>
    </row>
    <row r="358" spans="1:4" ht="12.75">
      <c r="A358" s="5" t="s">
        <v>1062</v>
      </c>
      <c r="B358" s="4" t="s">
        <v>517</v>
      </c>
      <c r="C358" s="4">
        <v>100</v>
      </c>
      <c r="D358" s="29" t="s">
        <v>482</v>
      </c>
    </row>
    <row r="359" spans="1:4" ht="12.75">
      <c r="A359" s="5" t="s">
        <v>1063</v>
      </c>
      <c r="B359" s="4" t="s">
        <v>481</v>
      </c>
      <c r="C359" s="4">
        <v>0.5</v>
      </c>
      <c r="D359" s="29" t="s">
        <v>513</v>
      </c>
    </row>
    <row r="360" spans="1:4" ht="12.75">
      <c r="A360" s="5" t="s">
        <v>1064</v>
      </c>
      <c r="B360" s="4" t="s">
        <v>494</v>
      </c>
      <c r="C360" s="4">
        <v>2</v>
      </c>
      <c r="D360" s="29" t="s">
        <v>560</v>
      </c>
    </row>
    <row r="361" spans="1:4" ht="12.75">
      <c r="A361" s="5" t="s">
        <v>1065</v>
      </c>
      <c r="B361" s="4" t="s">
        <v>465</v>
      </c>
      <c r="C361" s="4">
        <v>0.05</v>
      </c>
      <c r="D361" s="29" t="s">
        <v>466</v>
      </c>
    </row>
    <row r="362" spans="1:4" ht="12.75">
      <c r="A362" s="5" t="s">
        <v>1066</v>
      </c>
      <c r="B362" s="4" t="s">
        <v>465</v>
      </c>
      <c r="C362" s="4">
        <v>0.05</v>
      </c>
      <c r="D362" s="29" t="s">
        <v>560</v>
      </c>
    </row>
    <row r="363" spans="1:4" ht="12.75">
      <c r="A363" s="5" t="s">
        <v>1067</v>
      </c>
      <c r="B363" s="4" t="s">
        <v>465</v>
      </c>
      <c r="C363" s="4">
        <v>0.2</v>
      </c>
      <c r="D363" s="29" t="s">
        <v>560</v>
      </c>
    </row>
    <row r="364" spans="1:4" ht="12.75">
      <c r="A364" s="5" t="s">
        <v>1068</v>
      </c>
      <c r="B364" s="4" t="s">
        <v>465</v>
      </c>
      <c r="C364" s="4">
        <v>0.12</v>
      </c>
      <c r="D364" s="29" t="s">
        <v>560</v>
      </c>
    </row>
    <row r="365" spans="1:4" ht="12.75">
      <c r="A365" s="5" t="s">
        <v>1069</v>
      </c>
      <c r="B365" s="4" t="s">
        <v>465</v>
      </c>
      <c r="C365" s="4">
        <v>0.05</v>
      </c>
      <c r="D365" s="29" t="s">
        <v>466</v>
      </c>
    </row>
    <row r="366" spans="1:4" ht="12.75">
      <c r="A366" s="5" t="s">
        <v>1070</v>
      </c>
      <c r="B366" s="4" t="s">
        <v>517</v>
      </c>
      <c r="C366" s="4">
        <v>0.1</v>
      </c>
      <c r="D366" s="29" t="s">
        <v>469</v>
      </c>
    </row>
    <row r="367" spans="1:4" ht="12.75">
      <c r="A367" s="5" t="s">
        <v>1071</v>
      </c>
      <c r="B367" s="4" t="s">
        <v>590</v>
      </c>
      <c r="C367" s="4">
        <v>6</v>
      </c>
      <c r="D367" s="29" t="s">
        <v>482</v>
      </c>
    </row>
    <row r="368" spans="1:4" ht="12.75">
      <c r="A368" s="5" t="s">
        <v>1072</v>
      </c>
      <c r="B368" s="4" t="s">
        <v>590</v>
      </c>
      <c r="C368" s="4">
        <v>4</v>
      </c>
      <c r="D368" s="29" t="s">
        <v>482</v>
      </c>
    </row>
    <row r="369" spans="1:4" ht="12.75">
      <c r="A369" s="5" t="s">
        <v>1073</v>
      </c>
      <c r="B369" s="4" t="s">
        <v>590</v>
      </c>
      <c r="C369" s="4">
        <v>2</v>
      </c>
      <c r="D369" s="29" t="s">
        <v>482</v>
      </c>
    </row>
    <row r="370" spans="1:4" ht="12.75">
      <c r="A370" s="5" t="s">
        <v>1074</v>
      </c>
      <c r="B370" s="4" t="s">
        <v>494</v>
      </c>
      <c r="C370" s="4">
        <v>150</v>
      </c>
      <c r="D370" s="29" t="s">
        <v>1075</v>
      </c>
    </row>
    <row r="371" spans="1:4" ht="12.75">
      <c r="A371" s="5" t="s">
        <v>1076</v>
      </c>
      <c r="B371" s="4" t="s">
        <v>465</v>
      </c>
      <c r="C371" s="4">
        <v>1</v>
      </c>
      <c r="D371" s="29" t="s">
        <v>466</v>
      </c>
    </row>
    <row r="372" spans="1:4" ht="12.75">
      <c r="A372" s="5" t="s">
        <v>1077</v>
      </c>
      <c r="B372" s="4" t="s">
        <v>465</v>
      </c>
      <c r="C372" s="4">
        <v>15</v>
      </c>
      <c r="D372" s="29" t="s">
        <v>466</v>
      </c>
    </row>
    <row r="373" spans="1:4" ht="12.75">
      <c r="A373" s="5" t="s">
        <v>1078</v>
      </c>
      <c r="B373" s="4" t="s">
        <v>465</v>
      </c>
      <c r="C373" s="4">
        <v>2</v>
      </c>
      <c r="D373" s="29" t="s">
        <v>466</v>
      </c>
    </row>
    <row r="374" spans="1:4" ht="12.75">
      <c r="A374" s="5" t="s">
        <v>1079</v>
      </c>
      <c r="B374" s="4" t="s">
        <v>481</v>
      </c>
      <c r="C374" s="4">
        <v>2</v>
      </c>
      <c r="D374" s="29" t="s">
        <v>513</v>
      </c>
    </row>
    <row r="375" spans="1:4" ht="12.75">
      <c r="A375" s="5" t="s">
        <v>1080</v>
      </c>
      <c r="B375" s="4" t="s">
        <v>481</v>
      </c>
      <c r="C375" s="4">
        <v>25</v>
      </c>
      <c r="D375" s="29" t="s">
        <v>513</v>
      </c>
    </row>
    <row r="376" spans="1:4" ht="12.75">
      <c r="A376" s="5" t="s">
        <v>1081</v>
      </c>
      <c r="B376" s="4" t="s">
        <v>481</v>
      </c>
      <c r="C376" s="4">
        <v>1.6</v>
      </c>
      <c r="D376" s="29" t="s">
        <v>513</v>
      </c>
    </row>
    <row r="377" spans="1:4" ht="12.75">
      <c r="A377" s="5" t="s">
        <v>1082</v>
      </c>
      <c r="B377" s="4" t="s">
        <v>481</v>
      </c>
      <c r="C377" s="4">
        <v>15</v>
      </c>
      <c r="D377" s="29" t="s">
        <v>513</v>
      </c>
    </row>
    <row r="378" spans="1:4" ht="12.75">
      <c r="A378" s="5" t="s">
        <v>1083</v>
      </c>
      <c r="B378" s="4" t="s">
        <v>500</v>
      </c>
      <c r="C378" s="4">
        <v>10</v>
      </c>
      <c r="D378" s="29" t="s">
        <v>482</v>
      </c>
    </row>
    <row r="379" spans="1:4" ht="12.75">
      <c r="A379" s="5" t="s">
        <v>1084</v>
      </c>
      <c r="B379" s="4" t="s">
        <v>500</v>
      </c>
      <c r="C379" s="4">
        <v>30</v>
      </c>
      <c r="D379" s="29" t="s">
        <v>482</v>
      </c>
    </row>
    <row r="380" spans="1:4" ht="12.75">
      <c r="A380" s="5" t="s">
        <v>1085</v>
      </c>
      <c r="B380" s="4" t="s">
        <v>500</v>
      </c>
      <c r="C380" s="4">
        <v>12</v>
      </c>
      <c r="D380" s="29" t="s">
        <v>482</v>
      </c>
    </row>
    <row r="381" spans="1:4" ht="12.75">
      <c r="A381" s="5" t="s">
        <v>1086</v>
      </c>
      <c r="B381" s="4" t="s">
        <v>517</v>
      </c>
      <c r="C381" s="4">
        <v>100</v>
      </c>
      <c r="D381" s="29" t="s">
        <v>482</v>
      </c>
    </row>
    <row r="382" spans="1:4" ht="12.75">
      <c r="A382" s="5" t="s">
        <v>1087</v>
      </c>
      <c r="B382" s="4" t="s">
        <v>494</v>
      </c>
      <c r="C382" s="4">
        <v>50</v>
      </c>
      <c r="D382" s="29" t="s">
        <v>482</v>
      </c>
    </row>
    <row r="383" spans="1:4" ht="12.75">
      <c r="A383" s="5" t="s">
        <v>1088</v>
      </c>
      <c r="B383" s="4" t="s">
        <v>484</v>
      </c>
      <c r="C383" s="4">
        <v>6</v>
      </c>
      <c r="D383" s="29" t="s">
        <v>482</v>
      </c>
    </row>
    <row r="384" spans="1:4" ht="12.75">
      <c r="A384" s="5" t="s">
        <v>1089</v>
      </c>
      <c r="B384" s="4" t="s">
        <v>500</v>
      </c>
      <c r="C384" s="4">
        <v>5</v>
      </c>
      <c r="D384" s="29" t="s">
        <v>482</v>
      </c>
    </row>
    <row r="385" spans="1:4" ht="12.75">
      <c r="A385" s="5" t="s">
        <v>1090</v>
      </c>
      <c r="B385" s="4" t="s">
        <v>500</v>
      </c>
      <c r="C385" s="4">
        <v>15</v>
      </c>
      <c r="D385" s="29" t="s">
        <v>482</v>
      </c>
    </row>
    <row r="386" spans="1:4" ht="12.75">
      <c r="A386" s="5" t="s">
        <v>1091</v>
      </c>
      <c r="B386" s="4" t="s">
        <v>500</v>
      </c>
      <c r="C386" s="4">
        <v>1</v>
      </c>
      <c r="D386" s="29" t="s">
        <v>482</v>
      </c>
    </row>
    <row r="387" spans="1:4" ht="12.75">
      <c r="A387" s="5" t="s">
        <v>1092</v>
      </c>
      <c r="B387" s="4" t="s">
        <v>500</v>
      </c>
      <c r="C387" s="4">
        <v>10</v>
      </c>
      <c r="D387" s="29" t="s">
        <v>482</v>
      </c>
    </row>
    <row r="388" spans="1:4" ht="12.75">
      <c r="A388" s="5" t="s">
        <v>1093</v>
      </c>
      <c r="B388" s="4" t="s">
        <v>563</v>
      </c>
      <c r="C388" s="4">
        <v>50</v>
      </c>
      <c r="D388" s="29" t="s">
        <v>482</v>
      </c>
    </row>
    <row r="389" spans="1:4" ht="12.75">
      <c r="A389" s="5" t="s">
        <v>1094</v>
      </c>
      <c r="B389" s="4" t="s">
        <v>491</v>
      </c>
      <c r="C389" s="4">
        <v>12</v>
      </c>
      <c r="D389" s="29" t="s">
        <v>482</v>
      </c>
    </row>
    <row r="390" spans="1:4" ht="12.75">
      <c r="A390" s="5" t="s">
        <v>1095</v>
      </c>
      <c r="B390" s="4" t="s">
        <v>479</v>
      </c>
      <c r="C390" s="4">
        <v>75</v>
      </c>
      <c r="D390" s="29" t="s">
        <v>466</v>
      </c>
    </row>
    <row r="391" spans="1:4" ht="12.75">
      <c r="A391" s="5" t="s">
        <v>1096</v>
      </c>
      <c r="B391" s="4" t="s">
        <v>479</v>
      </c>
      <c r="C391" s="4">
        <v>22.5</v>
      </c>
      <c r="D391" s="29" t="s">
        <v>466</v>
      </c>
    </row>
    <row r="392" spans="1:4" ht="12.75">
      <c r="A392" s="5" t="s">
        <v>1097</v>
      </c>
      <c r="B392" s="4" t="s">
        <v>481</v>
      </c>
      <c r="C392" s="4">
        <v>1</v>
      </c>
      <c r="D392" s="29" t="s">
        <v>513</v>
      </c>
    </row>
    <row r="393" spans="1:4" ht="12.75">
      <c r="A393" s="5" t="s">
        <v>1098</v>
      </c>
      <c r="B393" s="4" t="s">
        <v>481</v>
      </c>
      <c r="C393" s="4">
        <v>15</v>
      </c>
      <c r="D393" s="29" t="s">
        <v>513</v>
      </c>
    </row>
    <row r="394" spans="1:4" ht="12.75">
      <c r="A394" s="5" t="s">
        <v>1099</v>
      </c>
      <c r="B394" s="4" t="s">
        <v>473</v>
      </c>
      <c r="C394" s="4">
        <v>550</v>
      </c>
      <c r="D394" s="29" t="s">
        <v>469</v>
      </c>
    </row>
    <row r="395" spans="1:4" ht="12.75">
      <c r="A395" s="5" t="s">
        <v>1100</v>
      </c>
      <c r="B395" s="4" t="s">
        <v>475</v>
      </c>
      <c r="C395" s="4">
        <v>10</v>
      </c>
      <c r="D395" s="29" t="s">
        <v>476</v>
      </c>
    </row>
    <row r="396" spans="1:4" ht="12.75">
      <c r="A396" s="5" t="s">
        <v>1101</v>
      </c>
      <c r="B396" s="4" t="s">
        <v>500</v>
      </c>
      <c r="C396" s="4">
        <v>10</v>
      </c>
      <c r="D396" s="29" t="s">
        <v>482</v>
      </c>
    </row>
    <row r="397" spans="1:4" ht="12.75">
      <c r="A397" s="5" t="s">
        <v>1102</v>
      </c>
      <c r="B397" s="4" t="s">
        <v>465</v>
      </c>
      <c r="C397" s="4">
        <v>0.8</v>
      </c>
      <c r="D397" s="29" t="s">
        <v>466</v>
      </c>
    </row>
    <row r="398" spans="1:4" ht="12.75">
      <c r="A398" s="5" t="s">
        <v>1103</v>
      </c>
      <c r="B398" s="4" t="s">
        <v>644</v>
      </c>
      <c r="C398" s="4">
        <v>5000</v>
      </c>
      <c r="D398" s="29" t="s">
        <v>482</v>
      </c>
    </row>
    <row r="399" spans="1:4" ht="12.75">
      <c r="A399" s="5" t="s">
        <v>1104</v>
      </c>
      <c r="B399" s="4" t="s">
        <v>517</v>
      </c>
      <c r="C399" s="4">
        <v>0.3</v>
      </c>
      <c r="D399" s="29" t="s">
        <v>482</v>
      </c>
    </row>
    <row r="400" spans="1:4" ht="12.75">
      <c r="A400" s="5" t="s">
        <v>1105</v>
      </c>
      <c r="B400" s="4" t="s">
        <v>465</v>
      </c>
      <c r="C400" s="4">
        <v>0.01</v>
      </c>
      <c r="D400" s="29" t="s">
        <v>466</v>
      </c>
    </row>
    <row r="401" spans="1:4" ht="12.75">
      <c r="A401" s="5" t="s">
        <v>1106</v>
      </c>
      <c r="B401" s="4" t="s">
        <v>465</v>
      </c>
      <c r="C401" s="4">
        <v>0.02</v>
      </c>
      <c r="D401" s="29" t="s">
        <v>466</v>
      </c>
    </row>
    <row r="402" spans="1:4" ht="12.75">
      <c r="A402" s="5" t="s">
        <v>1107</v>
      </c>
      <c r="B402" s="4" t="s">
        <v>500</v>
      </c>
      <c r="C402" s="4">
        <v>0.3</v>
      </c>
      <c r="D402" s="29" t="s">
        <v>482</v>
      </c>
    </row>
    <row r="403" spans="1:4" ht="12.75">
      <c r="A403" s="5" t="s">
        <v>1107</v>
      </c>
      <c r="B403" s="4" t="s">
        <v>590</v>
      </c>
      <c r="C403" s="4">
        <v>0.3</v>
      </c>
      <c r="D403" s="29" t="s">
        <v>482</v>
      </c>
    </row>
    <row r="404" spans="1:4" ht="12.75">
      <c r="A404" s="5" t="s">
        <v>1108</v>
      </c>
      <c r="B404" s="4" t="s">
        <v>500</v>
      </c>
      <c r="C404" s="4">
        <v>3</v>
      </c>
      <c r="D404" s="29" t="s">
        <v>482</v>
      </c>
    </row>
    <row r="405" spans="1:4" ht="12.75">
      <c r="A405" s="5" t="s">
        <v>1109</v>
      </c>
      <c r="B405" s="4" t="s">
        <v>590</v>
      </c>
      <c r="C405" s="4">
        <v>3</v>
      </c>
      <c r="D405" s="29" t="s">
        <v>482</v>
      </c>
    </row>
    <row r="406" spans="1:4" ht="12.75">
      <c r="A406" s="5" t="s">
        <v>1110</v>
      </c>
      <c r="B406" s="4" t="s">
        <v>473</v>
      </c>
      <c r="C406" s="4">
        <v>450</v>
      </c>
      <c r="D406" s="29" t="s">
        <v>469</v>
      </c>
    </row>
    <row r="407" spans="1:4" ht="12.75">
      <c r="A407" s="5" t="s">
        <v>1111</v>
      </c>
      <c r="B407" s="4" t="s">
        <v>465</v>
      </c>
      <c r="C407" s="4">
        <v>0.02</v>
      </c>
      <c r="D407" s="29" t="s">
        <v>466</v>
      </c>
    </row>
    <row r="408" spans="1:4" ht="12.75">
      <c r="A408" s="5" t="s">
        <v>1112</v>
      </c>
      <c r="B408" s="4" t="s">
        <v>465</v>
      </c>
      <c r="C408" s="4">
        <v>0.03</v>
      </c>
      <c r="D408" s="29" t="s">
        <v>466</v>
      </c>
    </row>
    <row r="409" spans="1:4" ht="12.75">
      <c r="A409" s="5" t="s">
        <v>1113</v>
      </c>
      <c r="B409" s="4" t="s">
        <v>484</v>
      </c>
      <c r="C409" s="4">
        <v>0.05</v>
      </c>
      <c r="D409" s="29" t="s">
        <v>482</v>
      </c>
    </row>
    <row r="410" spans="1:4" ht="12.75">
      <c r="A410" s="5" t="s">
        <v>1114</v>
      </c>
      <c r="B410" s="4" t="s">
        <v>517</v>
      </c>
      <c r="C410" s="4">
        <v>12</v>
      </c>
      <c r="D410" s="29" t="s">
        <v>482</v>
      </c>
    </row>
    <row r="411" spans="1:4" ht="12.75">
      <c r="A411" s="5" t="s">
        <v>1115</v>
      </c>
      <c r="B411" s="4" t="s">
        <v>484</v>
      </c>
      <c r="C411" s="4">
        <v>10</v>
      </c>
      <c r="D411" s="29" t="s">
        <v>482</v>
      </c>
    </row>
    <row r="412" spans="1:4" ht="12.75">
      <c r="A412" s="5" t="s">
        <v>1116</v>
      </c>
      <c r="B412" s="4" t="s">
        <v>475</v>
      </c>
      <c r="C412" s="4">
        <v>1</v>
      </c>
      <c r="D412" s="29" t="s">
        <v>476</v>
      </c>
    </row>
    <row r="413" spans="1:4" ht="12.75">
      <c r="A413" s="5" t="s">
        <v>1117</v>
      </c>
      <c r="B413" s="4" t="s">
        <v>465</v>
      </c>
      <c r="C413" s="4">
        <v>0.01</v>
      </c>
      <c r="D413" s="29" t="s">
        <v>466</v>
      </c>
    </row>
    <row r="414" spans="1:4" ht="12.75">
      <c r="A414" s="5" t="s">
        <v>1118</v>
      </c>
      <c r="B414" s="4" t="s">
        <v>494</v>
      </c>
      <c r="C414" s="4">
        <v>1</v>
      </c>
      <c r="D414" s="29" t="s">
        <v>482</v>
      </c>
    </row>
    <row r="415" spans="1:4" ht="12.75">
      <c r="A415" s="5" t="s">
        <v>1119</v>
      </c>
      <c r="B415" s="4" t="s">
        <v>494</v>
      </c>
      <c r="C415" s="4">
        <v>4</v>
      </c>
      <c r="D415" s="29" t="s">
        <v>482</v>
      </c>
    </row>
    <row r="416" spans="1:4" ht="12.75">
      <c r="A416" s="5" t="s">
        <v>1120</v>
      </c>
      <c r="B416" s="4" t="s">
        <v>494</v>
      </c>
      <c r="C416" s="4">
        <v>2</v>
      </c>
      <c r="D416" s="29" t="s">
        <v>482</v>
      </c>
    </row>
    <row r="417" spans="1:4" ht="12.75">
      <c r="A417" s="5" t="s">
        <v>1121</v>
      </c>
      <c r="B417" s="4" t="s">
        <v>484</v>
      </c>
      <c r="C417" s="4">
        <v>300</v>
      </c>
      <c r="D417" s="29" t="s">
        <v>482</v>
      </c>
    </row>
    <row r="418" spans="1:4" ht="12.75">
      <c r="A418" s="5" t="s">
        <v>1122</v>
      </c>
      <c r="B418" s="4" t="s">
        <v>484</v>
      </c>
      <c r="C418" s="4">
        <v>2</v>
      </c>
      <c r="D418" s="29" t="s">
        <v>482</v>
      </c>
    </row>
    <row r="419" spans="1:4" ht="12.75">
      <c r="A419" s="5" t="s">
        <v>1123</v>
      </c>
      <c r="B419" s="4" t="s">
        <v>484</v>
      </c>
      <c r="C419" s="4">
        <v>1</v>
      </c>
      <c r="D419" s="29" t="s">
        <v>482</v>
      </c>
    </row>
    <row r="420" spans="1:4" ht="12.75">
      <c r="A420" s="5" t="s">
        <v>1124</v>
      </c>
      <c r="B420" s="4" t="s">
        <v>517</v>
      </c>
      <c r="C420" s="4">
        <v>0.5</v>
      </c>
      <c r="D420" s="29" t="s">
        <v>482</v>
      </c>
    </row>
    <row r="421" spans="1:4" ht="12.75">
      <c r="A421" s="5" t="s">
        <v>1125</v>
      </c>
      <c r="B421" s="4" t="s">
        <v>484</v>
      </c>
      <c r="C421" s="4">
        <v>100</v>
      </c>
      <c r="D421" s="29" t="s">
        <v>482</v>
      </c>
    </row>
    <row r="422" spans="1:4" ht="12.75">
      <c r="A422" s="5" t="s">
        <v>1126</v>
      </c>
      <c r="B422" s="4" t="s">
        <v>500</v>
      </c>
      <c r="C422" s="4">
        <v>2</v>
      </c>
      <c r="D422" s="29" t="s">
        <v>482</v>
      </c>
    </row>
    <row r="423" spans="1:4" ht="12.75">
      <c r="A423" s="5" t="s">
        <v>1127</v>
      </c>
      <c r="B423" s="4" t="s">
        <v>484</v>
      </c>
      <c r="C423" s="4">
        <v>2</v>
      </c>
      <c r="D423" s="29" t="s">
        <v>482</v>
      </c>
    </row>
    <row r="424" spans="1:4" ht="12.75">
      <c r="A424" s="5" t="s">
        <v>1128</v>
      </c>
      <c r="B424" s="4" t="s">
        <v>590</v>
      </c>
      <c r="C424" s="4">
        <v>2</v>
      </c>
      <c r="D424" s="29" t="s">
        <v>600</v>
      </c>
    </row>
    <row r="425" spans="1:4" ht="12.75">
      <c r="A425" s="5" t="s">
        <v>1129</v>
      </c>
      <c r="B425" s="4" t="s">
        <v>590</v>
      </c>
      <c r="C425" s="4">
        <v>1.5</v>
      </c>
      <c r="D425" s="29" t="s">
        <v>600</v>
      </c>
    </row>
    <row r="426" spans="1:4" ht="12.75">
      <c r="A426" s="5" t="s">
        <v>1130</v>
      </c>
      <c r="B426" s="4" t="s">
        <v>590</v>
      </c>
      <c r="C426" s="4">
        <v>0.5</v>
      </c>
      <c r="D426" s="29" t="s">
        <v>600</v>
      </c>
    </row>
    <row r="427" spans="1:4" ht="12.75">
      <c r="A427" s="5" t="s">
        <v>1131</v>
      </c>
      <c r="B427" s="4" t="s">
        <v>590</v>
      </c>
      <c r="C427" s="4">
        <v>0.1</v>
      </c>
      <c r="D427" s="29" t="s">
        <v>600</v>
      </c>
    </row>
    <row r="428" spans="1:4" ht="12.75">
      <c r="A428" s="5" t="s">
        <v>1132</v>
      </c>
      <c r="B428" s="4" t="s">
        <v>590</v>
      </c>
      <c r="C428" s="4">
        <v>0.9</v>
      </c>
      <c r="D428" s="29" t="s">
        <v>600</v>
      </c>
    </row>
    <row r="429" spans="1:4" ht="12.75">
      <c r="A429" s="5" t="s">
        <v>1133</v>
      </c>
      <c r="B429" s="4" t="s">
        <v>590</v>
      </c>
      <c r="C429" s="4">
        <v>1.2</v>
      </c>
      <c r="D429" s="29" t="s">
        <v>600</v>
      </c>
    </row>
    <row r="430" spans="1:4" ht="12.75">
      <c r="A430" s="5" t="s">
        <v>1134</v>
      </c>
      <c r="B430" s="4" t="s">
        <v>590</v>
      </c>
      <c r="C430" s="4">
        <v>0.2</v>
      </c>
      <c r="D430" s="29" t="s">
        <v>600</v>
      </c>
    </row>
    <row r="431" spans="1:4" ht="12.75">
      <c r="A431" s="5" t="s">
        <v>1135</v>
      </c>
      <c r="B431" s="4" t="s">
        <v>590</v>
      </c>
      <c r="C431" s="4">
        <v>0.8</v>
      </c>
      <c r="D431" s="29" t="s">
        <v>600</v>
      </c>
    </row>
    <row r="432" spans="1:4" ht="12.75">
      <c r="A432" s="5" t="s">
        <v>1136</v>
      </c>
      <c r="B432" s="4" t="s">
        <v>517</v>
      </c>
      <c r="C432" s="4">
        <v>0.2</v>
      </c>
      <c r="D432" s="29" t="s">
        <v>482</v>
      </c>
    </row>
    <row r="433" spans="1:4" ht="12.75">
      <c r="A433" s="5" t="s">
        <v>1137</v>
      </c>
      <c r="B433" s="4" t="s">
        <v>500</v>
      </c>
      <c r="C433" s="4">
        <v>0.01</v>
      </c>
      <c r="D433" s="29" t="s">
        <v>466</v>
      </c>
    </row>
    <row r="434" spans="1:4" ht="12.75">
      <c r="A434" s="5" t="s">
        <v>1138</v>
      </c>
      <c r="B434" s="4" t="s">
        <v>500</v>
      </c>
      <c r="C434" s="4">
        <v>0.25</v>
      </c>
      <c r="D434" s="29" t="s">
        <v>560</v>
      </c>
    </row>
    <row r="435" spans="1:4" ht="12.75">
      <c r="A435" s="5" t="s">
        <v>1139</v>
      </c>
      <c r="B435" s="4" t="s">
        <v>500</v>
      </c>
      <c r="C435" s="4">
        <v>1</v>
      </c>
      <c r="D435" s="29" t="s">
        <v>1140</v>
      </c>
    </row>
    <row r="436" spans="1:4" ht="12.75">
      <c r="A436" s="5" t="s">
        <v>1141</v>
      </c>
      <c r="B436" s="4" t="s">
        <v>473</v>
      </c>
      <c r="C436" s="4">
        <v>1500</v>
      </c>
      <c r="D436" s="29" t="s">
        <v>469</v>
      </c>
    </row>
    <row r="437" spans="1:4" ht="12.75">
      <c r="A437" s="5" t="s">
        <v>1142</v>
      </c>
      <c r="B437" s="4" t="s">
        <v>484</v>
      </c>
      <c r="C437" s="4">
        <v>20</v>
      </c>
      <c r="D437" s="29" t="s">
        <v>482</v>
      </c>
    </row>
    <row r="438" spans="1:4" ht="12.75">
      <c r="A438" s="5" t="s">
        <v>1143</v>
      </c>
      <c r="B438" s="4" t="s">
        <v>465</v>
      </c>
      <c r="C438" s="4">
        <v>0.01</v>
      </c>
      <c r="D438" s="29" t="s">
        <v>466</v>
      </c>
    </row>
    <row r="439" spans="1:4" ht="12.75">
      <c r="A439" s="5" t="s">
        <v>1144</v>
      </c>
      <c r="B439" s="4" t="s">
        <v>465</v>
      </c>
      <c r="C439" s="4">
        <v>0.04</v>
      </c>
      <c r="D439" s="29" t="s">
        <v>466</v>
      </c>
    </row>
    <row r="440" spans="1:4" ht="12.75">
      <c r="A440" s="5" t="s">
        <v>1145</v>
      </c>
      <c r="B440" s="4" t="s">
        <v>465</v>
      </c>
      <c r="C440" s="4">
        <v>0.01</v>
      </c>
      <c r="D440" s="29" t="s">
        <v>466</v>
      </c>
    </row>
    <row r="441" spans="1:4" ht="12.75">
      <c r="A441" s="5" t="s">
        <v>1146</v>
      </c>
      <c r="B441" s="4" t="s">
        <v>465</v>
      </c>
      <c r="C441" s="4">
        <v>0.03</v>
      </c>
      <c r="D441" s="29" t="s">
        <v>466</v>
      </c>
    </row>
    <row r="442" spans="1:4" ht="12.75">
      <c r="A442" s="5" t="s">
        <v>1147</v>
      </c>
      <c r="B442" s="4" t="s">
        <v>465</v>
      </c>
      <c r="C442" s="4">
        <v>0.09</v>
      </c>
      <c r="D442" s="29" t="s">
        <v>466</v>
      </c>
    </row>
    <row r="443" spans="1:4" ht="12.75">
      <c r="A443" s="5" t="s">
        <v>1148</v>
      </c>
      <c r="B443" s="4" t="s">
        <v>541</v>
      </c>
      <c r="C443" s="4">
        <v>0.05</v>
      </c>
      <c r="D443" s="29" t="s">
        <v>542</v>
      </c>
    </row>
    <row r="444" spans="1:4" ht="12.75">
      <c r="A444" s="5" t="s">
        <v>1149</v>
      </c>
      <c r="B444" s="4" t="s">
        <v>494</v>
      </c>
      <c r="C444" s="4">
        <v>0.7</v>
      </c>
      <c r="D444" s="29" t="s">
        <v>482</v>
      </c>
    </row>
    <row r="445" spans="1:4" ht="12.75">
      <c r="A445" s="5" t="s">
        <v>1150</v>
      </c>
      <c r="B445" s="4" t="s">
        <v>500</v>
      </c>
      <c r="C445" s="4">
        <v>25</v>
      </c>
      <c r="D445" s="29" t="s">
        <v>482</v>
      </c>
    </row>
    <row r="446" spans="1:4" ht="12.75">
      <c r="A446" s="5" t="s">
        <v>1151</v>
      </c>
      <c r="B446" s="4" t="s">
        <v>500</v>
      </c>
      <c r="C446" s="4">
        <v>25</v>
      </c>
      <c r="D446" s="29" t="s">
        <v>560</v>
      </c>
    </row>
    <row r="447" spans="1:4" ht="12.75">
      <c r="A447" s="5" t="s">
        <v>1152</v>
      </c>
      <c r="B447" s="4" t="s">
        <v>494</v>
      </c>
      <c r="C447" s="4">
        <v>5000</v>
      </c>
      <c r="D447" s="29" t="s">
        <v>482</v>
      </c>
    </row>
    <row r="448" spans="1:4" ht="13.5" customHeight="1">
      <c r="A448" s="5" t="s">
        <v>457</v>
      </c>
      <c r="B448" s="4" t="s">
        <v>484</v>
      </c>
      <c r="C448" s="4">
        <v>10</v>
      </c>
      <c r="D448" s="29" t="s">
        <v>482</v>
      </c>
    </row>
    <row r="449" spans="1:4" ht="12.75">
      <c r="A449" s="5" t="s">
        <v>1153</v>
      </c>
      <c r="B449" s="4" t="s">
        <v>484</v>
      </c>
      <c r="C449" s="4">
        <v>8</v>
      </c>
      <c r="D449" s="29" t="s">
        <v>482</v>
      </c>
    </row>
    <row r="450" spans="1:4" ht="12.75">
      <c r="A450" s="5" t="s">
        <v>1154</v>
      </c>
      <c r="B450" s="4" t="s">
        <v>484</v>
      </c>
      <c r="C450" s="4">
        <v>5</v>
      </c>
      <c r="D450" s="29" t="s">
        <v>482</v>
      </c>
    </row>
    <row r="451" spans="1:4" ht="12.75">
      <c r="A451" s="5" t="s">
        <v>1155</v>
      </c>
      <c r="B451" s="4" t="s">
        <v>590</v>
      </c>
      <c r="C451" s="4">
        <v>3</v>
      </c>
      <c r="D451" s="29" t="s">
        <v>482</v>
      </c>
    </row>
    <row r="452" spans="1:4" ht="12.75">
      <c r="A452" s="5" t="s">
        <v>1156</v>
      </c>
      <c r="B452" s="4" t="s">
        <v>590</v>
      </c>
      <c r="C452" s="4">
        <v>5</v>
      </c>
      <c r="D452" s="29" t="s">
        <v>482</v>
      </c>
    </row>
    <row r="453" spans="1:4" ht="12.75">
      <c r="A453" s="5" t="s">
        <v>1157</v>
      </c>
      <c r="B453" s="4" t="s">
        <v>590</v>
      </c>
      <c r="C453" s="4">
        <v>5.5</v>
      </c>
      <c r="D453" s="29" t="s">
        <v>482</v>
      </c>
    </row>
    <row r="454" spans="1:4" ht="12.75">
      <c r="A454" s="5" t="s">
        <v>1158</v>
      </c>
      <c r="B454" s="4" t="s">
        <v>590</v>
      </c>
      <c r="C454" s="4">
        <v>0.8</v>
      </c>
      <c r="D454" s="29" t="s">
        <v>482</v>
      </c>
    </row>
    <row r="455" spans="1:4" ht="12.75">
      <c r="A455" s="5" t="s">
        <v>1159</v>
      </c>
      <c r="B455" s="4" t="s">
        <v>590</v>
      </c>
      <c r="C455" s="4">
        <v>0.7</v>
      </c>
      <c r="D455" s="29" t="s">
        <v>482</v>
      </c>
    </row>
    <row r="456" spans="1:4" ht="12.75">
      <c r="A456" s="5" t="s">
        <v>1160</v>
      </c>
      <c r="B456" s="4" t="s">
        <v>590</v>
      </c>
      <c r="C456" s="4">
        <v>1</v>
      </c>
      <c r="D456" s="29" t="s">
        <v>482</v>
      </c>
    </row>
    <row r="457" spans="1:4" ht="12.75">
      <c r="A457" s="5" t="s">
        <v>1161</v>
      </c>
      <c r="B457" s="4" t="s">
        <v>590</v>
      </c>
      <c r="C457" s="4">
        <v>2.2</v>
      </c>
      <c r="D457" s="29" t="s">
        <v>482</v>
      </c>
    </row>
    <row r="458" spans="1:4" ht="12.75">
      <c r="A458" s="5" t="s">
        <v>1162</v>
      </c>
      <c r="B458" s="4" t="s">
        <v>590</v>
      </c>
      <c r="C458" s="4">
        <v>1.7</v>
      </c>
      <c r="D458" s="29" t="s">
        <v>482</v>
      </c>
    </row>
    <row r="459" spans="1:4" ht="12.75">
      <c r="A459" s="5" t="s">
        <v>1163</v>
      </c>
      <c r="B459" s="4" t="s">
        <v>590</v>
      </c>
      <c r="C459" s="4">
        <v>2.3</v>
      </c>
      <c r="D459" s="29" t="s">
        <v>482</v>
      </c>
    </row>
    <row r="460" spans="1:4" ht="12.75">
      <c r="A460" s="5" t="s">
        <v>1164</v>
      </c>
      <c r="B460" s="4" t="s">
        <v>590</v>
      </c>
      <c r="C460" s="4">
        <v>0.5</v>
      </c>
      <c r="D460" s="29" t="s">
        <v>482</v>
      </c>
    </row>
    <row r="461" spans="1:4" ht="12.75">
      <c r="A461" s="5" t="s">
        <v>1165</v>
      </c>
      <c r="B461" s="4" t="s">
        <v>494</v>
      </c>
      <c r="C461" s="4">
        <v>0.01</v>
      </c>
      <c r="D461" s="29" t="s">
        <v>482</v>
      </c>
    </row>
    <row r="462" spans="1:4" ht="12.75">
      <c r="A462" s="5" t="s">
        <v>1166</v>
      </c>
      <c r="B462" s="4" t="s">
        <v>494</v>
      </c>
      <c r="C462" s="4">
        <v>0.03</v>
      </c>
      <c r="D462" s="29" t="s">
        <v>482</v>
      </c>
    </row>
    <row r="463" spans="1:4" ht="12.75">
      <c r="A463" s="5" t="s">
        <v>1167</v>
      </c>
      <c r="B463" s="4" t="s">
        <v>465</v>
      </c>
      <c r="C463" s="4">
        <v>0.01</v>
      </c>
      <c r="D463" s="29" t="s">
        <v>466</v>
      </c>
    </row>
    <row r="464" spans="1:4" ht="12.75">
      <c r="A464" s="5" t="s">
        <v>1168</v>
      </c>
      <c r="B464" s="4" t="s">
        <v>541</v>
      </c>
      <c r="C464" s="4">
        <v>0.15</v>
      </c>
      <c r="D464" s="29" t="s">
        <v>542</v>
      </c>
    </row>
    <row r="465" spans="1:4" ht="12.75">
      <c r="A465" s="5" t="s">
        <v>1169</v>
      </c>
      <c r="B465" s="4" t="s">
        <v>481</v>
      </c>
      <c r="C465" s="4">
        <v>50</v>
      </c>
      <c r="D465" s="29" t="s">
        <v>513</v>
      </c>
    </row>
    <row r="466" spans="1:4" ht="12.75">
      <c r="A466" s="5" t="s">
        <v>1170</v>
      </c>
      <c r="B466" s="4" t="s">
        <v>541</v>
      </c>
      <c r="C466" s="4">
        <v>0.06</v>
      </c>
      <c r="D466" s="29" t="s">
        <v>542</v>
      </c>
    </row>
    <row r="467" spans="1:4" ht="12.75">
      <c r="A467" s="5" t="s">
        <v>1171</v>
      </c>
      <c r="B467" s="4" t="s">
        <v>465</v>
      </c>
      <c r="C467" s="4">
        <v>0.02</v>
      </c>
      <c r="D467" s="29" t="s">
        <v>466</v>
      </c>
    </row>
    <row r="468" spans="1:4" ht="12.75">
      <c r="A468" s="5" t="s">
        <v>1172</v>
      </c>
      <c r="B468" s="4" t="s">
        <v>465</v>
      </c>
      <c r="C468" s="4">
        <v>0.05</v>
      </c>
      <c r="D468" s="29" t="s">
        <v>466</v>
      </c>
    </row>
    <row r="469" spans="1:4" ht="12.75">
      <c r="A469" s="5" t="s">
        <v>1173</v>
      </c>
      <c r="B469" s="4" t="s">
        <v>523</v>
      </c>
      <c r="C469" s="4">
        <v>1</v>
      </c>
      <c r="D469" s="29" t="s">
        <v>482</v>
      </c>
    </row>
    <row r="470" spans="1:4" ht="12.75">
      <c r="A470" s="5" t="s">
        <v>1174</v>
      </c>
      <c r="B470" s="4" t="s">
        <v>494</v>
      </c>
      <c r="C470" s="4">
        <v>0.1</v>
      </c>
      <c r="D470" s="29" t="s">
        <v>482</v>
      </c>
    </row>
    <row r="471" spans="1:4" ht="12.75">
      <c r="A471" s="5" t="s">
        <v>1175</v>
      </c>
      <c r="B471" s="4" t="s">
        <v>500</v>
      </c>
      <c r="C471" s="4">
        <v>0.01</v>
      </c>
      <c r="D471" s="29" t="s">
        <v>482</v>
      </c>
    </row>
    <row r="472" spans="1:4" ht="12.75">
      <c r="A472" s="5" t="s">
        <v>1176</v>
      </c>
      <c r="B472" s="4" t="s">
        <v>494</v>
      </c>
      <c r="C472" s="4">
        <v>1</v>
      </c>
      <c r="D472" s="29" t="s">
        <v>1177</v>
      </c>
    </row>
    <row r="473" spans="1:4" ht="12.75">
      <c r="A473" s="5" t="s">
        <v>1178</v>
      </c>
      <c r="B473" s="4" t="s">
        <v>494</v>
      </c>
      <c r="C473" s="4">
        <v>0.3</v>
      </c>
      <c r="D473" s="29" t="s">
        <v>482</v>
      </c>
    </row>
    <row r="474" spans="1:4" ht="12.75">
      <c r="A474" s="5" t="s">
        <v>1179</v>
      </c>
      <c r="B474" s="4" t="s">
        <v>494</v>
      </c>
      <c r="C474" s="4">
        <v>50</v>
      </c>
      <c r="D474" s="29" t="s">
        <v>482</v>
      </c>
    </row>
    <row r="475" spans="1:4" ht="12.75">
      <c r="A475" s="5" t="s">
        <v>1180</v>
      </c>
      <c r="B475" s="4" t="s">
        <v>465</v>
      </c>
      <c r="C475" s="4">
        <v>0.02</v>
      </c>
      <c r="D475" s="29" t="s">
        <v>466</v>
      </c>
    </row>
    <row r="476" spans="1:4" ht="12.75">
      <c r="A476" s="5" t="s">
        <v>1181</v>
      </c>
      <c r="B476" s="4" t="s">
        <v>465</v>
      </c>
      <c r="C476" s="4">
        <v>0.05</v>
      </c>
      <c r="D476" s="29" t="s">
        <v>466</v>
      </c>
    </row>
    <row r="477" spans="1:4" ht="12.75">
      <c r="A477" s="5" t="s">
        <v>1182</v>
      </c>
      <c r="B477" s="4" t="s">
        <v>465</v>
      </c>
      <c r="C477" s="4">
        <v>0.08</v>
      </c>
      <c r="D477" s="29" t="s">
        <v>466</v>
      </c>
    </row>
    <row r="478" spans="1:4" ht="12.75">
      <c r="A478" s="5" t="s">
        <v>1183</v>
      </c>
      <c r="B478" s="4" t="s">
        <v>465</v>
      </c>
      <c r="C478" s="4">
        <v>0.03</v>
      </c>
      <c r="D478" s="29" t="s">
        <v>560</v>
      </c>
    </row>
    <row r="479" spans="1:4" ht="12.75">
      <c r="A479" s="5" t="s">
        <v>1184</v>
      </c>
      <c r="B479" s="4" t="s">
        <v>465</v>
      </c>
      <c r="C479" s="4">
        <v>0.12</v>
      </c>
      <c r="D479" s="29" t="s">
        <v>560</v>
      </c>
    </row>
    <row r="480" spans="1:4" ht="12.75">
      <c r="A480" s="5" t="s">
        <v>1185</v>
      </c>
      <c r="B480" s="4" t="s">
        <v>465</v>
      </c>
      <c r="C480" s="4">
        <v>2.5</v>
      </c>
      <c r="D480" s="29" t="s">
        <v>560</v>
      </c>
    </row>
    <row r="481" spans="1:4" ht="12.75">
      <c r="A481" s="5" t="s">
        <v>1186</v>
      </c>
      <c r="B481" s="4" t="s">
        <v>465</v>
      </c>
      <c r="C481" s="4">
        <v>0.07</v>
      </c>
      <c r="D481" s="29" t="s">
        <v>560</v>
      </c>
    </row>
    <row r="482" spans="1:4" ht="12.75">
      <c r="A482" s="5" t="s">
        <v>1187</v>
      </c>
      <c r="B482" s="4" t="s">
        <v>465</v>
      </c>
      <c r="C482" s="4">
        <v>0.02</v>
      </c>
      <c r="D482" s="29" t="s">
        <v>560</v>
      </c>
    </row>
    <row r="483" spans="1:4" ht="12.75">
      <c r="A483" s="5" t="s">
        <v>1188</v>
      </c>
      <c r="B483" s="4" t="s">
        <v>465</v>
      </c>
      <c r="C483" s="4">
        <v>0.22</v>
      </c>
      <c r="D483" s="29" t="s">
        <v>560</v>
      </c>
    </row>
    <row r="484" spans="1:4" ht="12.75">
      <c r="A484" s="5" t="s">
        <v>1189</v>
      </c>
      <c r="B484" s="4" t="s">
        <v>465</v>
      </c>
      <c r="C484" s="4">
        <v>1.2</v>
      </c>
      <c r="D484" s="29" t="s">
        <v>560</v>
      </c>
    </row>
    <row r="485" spans="1:4" ht="12.75">
      <c r="A485" s="5" t="s">
        <v>1190</v>
      </c>
      <c r="B485" s="4" t="s">
        <v>465</v>
      </c>
      <c r="C485" s="4">
        <v>0.05</v>
      </c>
      <c r="D485" s="29" t="s">
        <v>560</v>
      </c>
    </row>
    <row r="486" spans="1:4" ht="12.75">
      <c r="A486" s="5" t="s">
        <v>1191</v>
      </c>
      <c r="B486" s="4" t="s">
        <v>465</v>
      </c>
      <c r="C486" s="4">
        <v>0.03</v>
      </c>
      <c r="D486" s="29" t="s">
        <v>466</v>
      </c>
    </row>
    <row r="487" spans="1:4" ht="12.75">
      <c r="A487" s="5" t="s">
        <v>1192</v>
      </c>
      <c r="B487" s="4" t="s">
        <v>465</v>
      </c>
      <c r="C487" s="4">
        <v>0.01</v>
      </c>
      <c r="D487" s="29" t="s">
        <v>560</v>
      </c>
    </row>
    <row r="488" spans="1:4" ht="12.75">
      <c r="A488" s="5" t="s">
        <v>1193</v>
      </c>
      <c r="B488" s="4" t="s">
        <v>465</v>
      </c>
      <c r="C488" s="4">
        <v>0.08</v>
      </c>
      <c r="D488" s="29" t="s">
        <v>560</v>
      </c>
    </row>
    <row r="489" spans="1:4" ht="12.75">
      <c r="A489" s="5" t="s">
        <v>1194</v>
      </c>
      <c r="B489" s="4" t="s">
        <v>465</v>
      </c>
      <c r="C489" s="4">
        <v>0.03</v>
      </c>
      <c r="D489" s="29" t="s">
        <v>560</v>
      </c>
    </row>
    <row r="490" spans="1:4" ht="12.75">
      <c r="A490" s="5" t="s">
        <v>1195</v>
      </c>
      <c r="B490" s="4" t="s">
        <v>517</v>
      </c>
      <c r="C490" s="4">
        <v>2</v>
      </c>
      <c r="D490" s="29" t="s">
        <v>482</v>
      </c>
    </row>
    <row r="491" spans="1:4" ht="12.75">
      <c r="A491" s="5" t="s">
        <v>1196</v>
      </c>
      <c r="B491" s="4" t="s">
        <v>590</v>
      </c>
      <c r="C491" s="4">
        <v>3</v>
      </c>
      <c r="D491" s="29" t="s">
        <v>482</v>
      </c>
    </row>
    <row r="492" spans="1:4" ht="12.75">
      <c r="A492" s="5" t="s">
        <v>1197</v>
      </c>
      <c r="B492" s="4" t="s">
        <v>590</v>
      </c>
      <c r="C492" s="4">
        <v>9.1</v>
      </c>
      <c r="D492" s="29" t="s">
        <v>482</v>
      </c>
    </row>
    <row r="493" spans="1:4" ht="12.75">
      <c r="A493" s="5" t="s">
        <v>1198</v>
      </c>
      <c r="B493" s="4" t="s">
        <v>590</v>
      </c>
      <c r="C493" s="4">
        <v>10</v>
      </c>
      <c r="D493" s="29" t="s">
        <v>482</v>
      </c>
    </row>
    <row r="494" spans="1:4" ht="12.75">
      <c r="A494" s="5" t="s">
        <v>1199</v>
      </c>
      <c r="B494" s="4" t="s">
        <v>590</v>
      </c>
      <c r="C494" s="4">
        <v>1.4</v>
      </c>
      <c r="D494" s="29" t="s">
        <v>482</v>
      </c>
    </row>
    <row r="495" spans="1:4" ht="12.75">
      <c r="A495" s="5" t="s">
        <v>1200</v>
      </c>
      <c r="B495" s="4" t="s">
        <v>590</v>
      </c>
      <c r="C495" s="4">
        <v>1.1</v>
      </c>
      <c r="D495" s="29" t="s">
        <v>482</v>
      </c>
    </row>
    <row r="496" spans="1:4" ht="12.75">
      <c r="A496" s="5" t="s">
        <v>1201</v>
      </c>
      <c r="B496" s="4" t="s">
        <v>590</v>
      </c>
      <c r="C496" s="4">
        <v>3.7</v>
      </c>
      <c r="D496" s="29" t="s">
        <v>482</v>
      </c>
    </row>
    <row r="497" spans="1:4" ht="12.75">
      <c r="A497" s="5" t="s">
        <v>1202</v>
      </c>
      <c r="B497" s="4" t="s">
        <v>590</v>
      </c>
      <c r="C497" s="4">
        <v>1.7</v>
      </c>
      <c r="D497" s="29" t="s">
        <v>482</v>
      </c>
    </row>
    <row r="498" spans="1:4" ht="12.75">
      <c r="A498" s="5" t="s">
        <v>1203</v>
      </c>
      <c r="B498" s="4" t="s">
        <v>590</v>
      </c>
      <c r="C498" s="4">
        <v>5.7</v>
      </c>
      <c r="D498" s="29" t="s">
        <v>482</v>
      </c>
    </row>
    <row r="499" spans="1:4" ht="12.75">
      <c r="A499" s="5" t="s">
        <v>1204</v>
      </c>
      <c r="B499" s="4" t="s">
        <v>590</v>
      </c>
      <c r="C499" s="4">
        <v>7</v>
      </c>
      <c r="D499" s="29" t="s">
        <v>482</v>
      </c>
    </row>
    <row r="500" spans="1:4" ht="12.75">
      <c r="A500" s="5" t="s">
        <v>1205</v>
      </c>
      <c r="B500" s="4" t="s">
        <v>590</v>
      </c>
      <c r="C500" s="4">
        <v>0.9</v>
      </c>
      <c r="D500" s="29" t="s">
        <v>482</v>
      </c>
    </row>
    <row r="501" spans="1:4" ht="12.75">
      <c r="A501" s="5" t="s">
        <v>1206</v>
      </c>
      <c r="B501" s="4" t="s">
        <v>590</v>
      </c>
      <c r="C501" s="4">
        <v>7.2</v>
      </c>
      <c r="D501" s="29" t="s">
        <v>482</v>
      </c>
    </row>
    <row r="502" spans="1:4" ht="12.75">
      <c r="A502" s="5" t="s">
        <v>1207</v>
      </c>
      <c r="B502" s="4" t="s">
        <v>644</v>
      </c>
      <c r="C502" s="4">
        <v>0.2</v>
      </c>
      <c r="D502" s="29" t="s">
        <v>482</v>
      </c>
    </row>
    <row r="503" spans="1:4" ht="12.75">
      <c r="A503" s="5" t="s">
        <v>1208</v>
      </c>
      <c r="B503" s="4" t="s">
        <v>494</v>
      </c>
      <c r="C503" s="4">
        <v>1.2</v>
      </c>
      <c r="D503" s="29" t="s">
        <v>720</v>
      </c>
    </row>
    <row r="504" spans="1:4" ht="12.75">
      <c r="A504" s="5" t="s">
        <v>1209</v>
      </c>
      <c r="B504" s="4" t="s">
        <v>481</v>
      </c>
      <c r="C504" s="4">
        <v>1</v>
      </c>
      <c r="D504" s="29" t="s">
        <v>513</v>
      </c>
    </row>
    <row r="505" spans="1:4" ht="12.75">
      <c r="A505" s="5" t="s">
        <v>1210</v>
      </c>
      <c r="B505" s="4" t="s">
        <v>644</v>
      </c>
      <c r="C505" s="4">
        <v>0.02</v>
      </c>
      <c r="D505" s="29" t="s">
        <v>482</v>
      </c>
    </row>
    <row r="506" spans="1:4" ht="12.75">
      <c r="A506" s="5" t="s">
        <v>1211</v>
      </c>
      <c r="B506" s="4" t="s">
        <v>517</v>
      </c>
      <c r="C506" s="4">
        <v>0.2</v>
      </c>
      <c r="D506" s="29" t="s">
        <v>469</v>
      </c>
    </row>
    <row r="507" spans="1:4" ht="12.75">
      <c r="A507" s="5" t="s">
        <v>1212</v>
      </c>
      <c r="B507" s="4" t="s">
        <v>590</v>
      </c>
      <c r="C507" s="4">
        <v>0.02</v>
      </c>
      <c r="D507" s="29" t="s">
        <v>482</v>
      </c>
    </row>
    <row r="508" spans="1:4" ht="12.75">
      <c r="A508" s="5" t="s">
        <v>1213</v>
      </c>
      <c r="B508" s="4" t="s">
        <v>590</v>
      </c>
      <c r="C508" s="4">
        <v>0.19</v>
      </c>
      <c r="D508" s="29" t="s">
        <v>482</v>
      </c>
    </row>
    <row r="509" spans="1:4" ht="12.75">
      <c r="A509" s="5" t="s">
        <v>1214</v>
      </c>
      <c r="B509" s="4" t="s">
        <v>590</v>
      </c>
      <c r="C509" s="4">
        <v>0.08</v>
      </c>
      <c r="D509" s="29" t="s">
        <v>482</v>
      </c>
    </row>
    <row r="510" spans="1:4" ht="12.75">
      <c r="A510" s="5" t="s">
        <v>1215</v>
      </c>
      <c r="B510" s="4" t="s">
        <v>590</v>
      </c>
      <c r="C510" s="4">
        <v>0.01</v>
      </c>
      <c r="D510" s="29" t="s">
        <v>482</v>
      </c>
    </row>
    <row r="511" spans="1:4" ht="12.75">
      <c r="A511" s="5" t="s">
        <v>1216</v>
      </c>
      <c r="B511" s="4" t="s">
        <v>590</v>
      </c>
      <c r="C511" s="4">
        <v>0.13</v>
      </c>
      <c r="D511" s="29" t="s">
        <v>482</v>
      </c>
    </row>
    <row r="512" spans="1:4" ht="12.75">
      <c r="A512" s="5" t="s">
        <v>1217</v>
      </c>
      <c r="B512" s="4" t="s">
        <v>475</v>
      </c>
      <c r="C512" s="4">
        <v>500</v>
      </c>
      <c r="D512" s="29" t="s">
        <v>476</v>
      </c>
    </row>
    <row r="513" spans="1:4" ht="12.75">
      <c r="A513" s="5" t="s">
        <v>1218</v>
      </c>
      <c r="B513" s="4" t="s">
        <v>481</v>
      </c>
      <c r="C513" s="4">
        <v>15</v>
      </c>
      <c r="D513" s="29" t="s">
        <v>513</v>
      </c>
    </row>
    <row r="514" spans="1:4" ht="12.75">
      <c r="A514" s="5" t="s">
        <v>1219</v>
      </c>
      <c r="B514" s="4" t="s">
        <v>481</v>
      </c>
      <c r="C514" s="4">
        <v>1</v>
      </c>
      <c r="D514" s="29" t="s">
        <v>513</v>
      </c>
    </row>
    <row r="515" spans="1:4" ht="12.75">
      <c r="A515" s="5" t="s">
        <v>1220</v>
      </c>
      <c r="B515" s="4" t="s">
        <v>481</v>
      </c>
      <c r="C515" s="4">
        <v>0.15</v>
      </c>
      <c r="D515" s="29" t="s">
        <v>513</v>
      </c>
    </row>
    <row r="516" spans="1:4" ht="12.75">
      <c r="A516" s="5" t="s">
        <v>1221</v>
      </c>
      <c r="B516" s="4" t="s">
        <v>481</v>
      </c>
      <c r="C516" s="4">
        <v>2</v>
      </c>
      <c r="D516" s="29" t="s">
        <v>513</v>
      </c>
    </row>
    <row r="517" spans="1:4" ht="12.75">
      <c r="A517" s="5" t="s">
        <v>1222</v>
      </c>
      <c r="B517" s="4" t="s">
        <v>481</v>
      </c>
      <c r="C517" s="4">
        <v>150</v>
      </c>
      <c r="D517" s="29" t="s">
        <v>513</v>
      </c>
    </row>
    <row r="518" spans="1:4" ht="12.75">
      <c r="A518" s="5" t="s">
        <v>1223</v>
      </c>
      <c r="B518" s="4" t="s">
        <v>481</v>
      </c>
      <c r="C518" s="4">
        <v>450</v>
      </c>
      <c r="D518" s="29" t="s">
        <v>513</v>
      </c>
    </row>
    <row r="519" spans="1:4" ht="12.75">
      <c r="A519" s="5" t="s">
        <v>1224</v>
      </c>
      <c r="B519" s="4" t="s">
        <v>500</v>
      </c>
      <c r="C519" s="4">
        <v>5</v>
      </c>
      <c r="D519" s="29" t="s">
        <v>482</v>
      </c>
    </row>
    <row r="520" spans="1:4" ht="12.75">
      <c r="A520" s="5" t="s">
        <v>1225</v>
      </c>
      <c r="B520" s="4" t="s">
        <v>481</v>
      </c>
      <c r="C520" s="4">
        <v>250</v>
      </c>
      <c r="D520" s="29" t="s">
        <v>513</v>
      </c>
    </row>
    <row r="521" spans="1:4" ht="12.75">
      <c r="A521" s="5" t="s">
        <v>1226</v>
      </c>
      <c r="B521" s="4" t="s">
        <v>590</v>
      </c>
      <c r="C521" s="4">
        <v>4</v>
      </c>
      <c r="D521" s="29" t="s">
        <v>482</v>
      </c>
    </row>
    <row r="522" spans="1:4" ht="12.75">
      <c r="A522" s="5" t="s">
        <v>1227</v>
      </c>
      <c r="B522" s="4" t="s">
        <v>590</v>
      </c>
      <c r="C522" s="4">
        <v>22</v>
      </c>
      <c r="D522" s="29" t="s">
        <v>482</v>
      </c>
    </row>
    <row r="523" spans="1:4" ht="12.75">
      <c r="A523" s="5" t="s">
        <v>1228</v>
      </c>
      <c r="B523" s="4" t="s">
        <v>590</v>
      </c>
      <c r="C523" s="4">
        <v>25</v>
      </c>
      <c r="D523" s="29" t="s">
        <v>482</v>
      </c>
    </row>
    <row r="524" spans="1:4" ht="12.75">
      <c r="A524" s="5" t="s">
        <v>1229</v>
      </c>
      <c r="B524" s="4" t="s">
        <v>590</v>
      </c>
      <c r="C524" s="4">
        <v>3.5</v>
      </c>
      <c r="D524" s="29" t="s">
        <v>482</v>
      </c>
    </row>
    <row r="525" spans="1:4" ht="12.75">
      <c r="A525" s="5" t="s">
        <v>1230</v>
      </c>
      <c r="B525" s="4" t="s">
        <v>590</v>
      </c>
      <c r="C525" s="4">
        <v>4</v>
      </c>
      <c r="D525" s="29" t="s">
        <v>482</v>
      </c>
    </row>
    <row r="526" spans="1:4" ht="12.75">
      <c r="A526" s="5" t="s">
        <v>1231</v>
      </c>
      <c r="B526" s="4" t="s">
        <v>590</v>
      </c>
      <c r="C526" s="4">
        <v>8</v>
      </c>
      <c r="D526" s="29" t="s">
        <v>482</v>
      </c>
    </row>
    <row r="527" spans="1:4" ht="12.75">
      <c r="A527" s="5" t="s">
        <v>1232</v>
      </c>
      <c r="B527" s="4" t="s">
        <v>590</v>
      </c>
      <c r="C527" s="4">
        <v>3</v>
      </c>
      <c r="D527" s="29" t="s">
        <v>482</v>
      </c>
    </row>
    <row r="528" spans="1:4" ht="12.75">
      <c r="A528" s="5" t="s">
        <v>1233</v>
      </c>
      <c r="B528" s="4" t="s">
        <v>590</v>
      </c>
      <c r="C528" s="4">
        <v>5.5</v>
      </c>
      <c r="D528" s="29" t="s">
        <v>482</v>
      </c>
    </row>
    <row r="529" spans="1:4" ht="12.75">
      <c r="A529" s="5" t="s">
        <v>1234</v>
      </c>
      <c r="B529" s="4" t="s">
        <v>590</v>
      </c>
      <c r="C529" s="4">
        <v>12.5</v>
      </c>
      <c r="D529" s="29" t="s">
        <v>482</v>
      </c>
    </row>
    <row r="530" spans="1:4" ht="12.75">
      <c r="A530" s="5" t="s">
        <v>1235</v>
      </c>
      <c r="B530" s="4" t="s">
        <v>590</v>
      </c>
      <c r="C530" s="4">
        <v>15</v>
      </c>
      <c r="D530" s="29" t="s">
        <v>482</v>
      </c>
    </row>
    <row r="531" spans="1:4" ht="12.75">
      <c r="A531" s="5" t="s">
        <v>1236</v>
      </c>
      <c r="B531" s="4" t="s">
        <v>590</v>
      </c>
      <c r="C531" s="4">
        <v>2</v>
      </c>
      <c r="D531" s="29" t="s">
        <v>482</v>
      </c>
    </row>
    <row r="532" spans="1:4" ht="12.75">
      <c r="A532" s="5" t="s">
        <v>1237</v>
      </c>
      <c r="B532" s="4" t="s">
        <v>590</v>
      </c>
      <c r="C532" s="4">
        <v>12</v>
      </c>
      <c r="D532" s="29" t="s">
        <v>482</v>
      </c>
    </row>
    <row r="533" spans="1:4" ht="12.75">
      <c r="A533" s="5" t="s">
        <v>1238</v>
      </c>
      <c r="B533" s="4" t="s">
        <v>475</v>
      </c>
      <c r="C533" s="4">
        <v>10</v>
      </c>
      <c r="D533" s="29" t="s">
        <v>476</v>
      </c>
    </row>
    <row r="534" spans="1:4" ht="12.75">
      <c r="A534" s="5" t="s">
        <v>1239</v>
      </c>
      <c r="B534" s="4" t="s">
        <v>491</v>
      </c>
      <c r="C534" s="4">
        <v>4</v>
      </c>
      <c r="D534" s="29" t="s">
        <v>482</v>
      </c>
    </row>
    <row r="535" spans="1:4" ht="12.75">
      <c r="A535" s="5" t="s">
        <v>1240</v>
      </c>
      <c r="B535" s="4" t="s">
        <v>644</v>
      </c>
      <c r="C535" s="4">
        <v>17</v>
      </c>
      <c r="D535" s="29" t="s">
        <v>482</v>
      </c>
    </row>
    <row r="536" spans="1:4" ht="12.75">
      <c r="A536" s="5" t="s">
        <v>1241</v>
      </c>
      <c r="B536" s="4" t="s">
        <v>491</v>
      </c>
      <c r="C536" s="4">
        <v>12</v>
      </c>
      <c r="D536" s="29" t="s">
        <v>482</v>
      </c>
    </row>
    <row r="537" spans="1:4" ht="12.75">
      <c r="A537" s="5" t="s">
        <v>1242</v>
      </c>
      <c r="B537" s="4" t="s">
        <v>481</v>
      </c>
      <c r="C537" s="4">
        <v>10</v>
      </c>
      <c r="D537" s="29" t="s">
        <v>513</v>
      </c>
    </row>
    <row r="538" spans="1:4" ht="12.75">
      <c r="A538" s="5" t="s">
        <v>1243</v>
      </c>
      <c r="B538" s="4" t="s">
        <v>481</v>
      </c>
      <c r="C538" s="4">
        <v>150</v>
      </c>
      <c r="D538" s="29" t="s">
        <v>513</v>
      </c>
    </row>
    <row r="539" spans="1:4" ht="12.75">
      <c r="A539" s="5" t="s">
        <v>1244</v>
      </c>
      <c r="B539" s="4" t="s">
        <v>541</v>
      </c>
      <c r="C539" s="4">
        <v>14.5</v>
      </c>
      <c r="D539" s="29" t="s">
        <v>542</v>
      </c>
    </row>
    <row r="540" spans="1:4" ht="12.75">
      <c r="A540" s="5" t="s">
        <v>1245</v>
      </c>
      <c r="B540" s="4" t="s">
        <v>473</v>
      </c>
      <c r="C540" s="4">
        <v>920</v>
      </c>
      <c r="D540" s="29" t="s">
        <v>469</v>
      </c>
    </row>
    <row r="541" spans="1:4" ht="12.75">
      <c r="A541" s="5" t="s">
        <v>1246</v>
      </c>
      <c r="B541" s="4" t="s">
        <v>473</v>
      </c>
      <c r="C541" s="4">
        <v>340</v>
      </c>
      <c r="D541" s="29" t="s">
        <v>469</v>
      </c>
    </row>
    <row r="542" spans="1:4" ht="12.75">
      <c r="A542" s="5" t="s">
        <v>1247</v>
      </c>
      <c r="B542" s="4" t="s">
        <v>484</v>
      </c>
      <c r="C542" s="4">
        <v>0.1</v>
      </c>
      <c r="D542" s="29" t="s">
        <v>482</v>
      </c>
    </row>
    <row r="543" spans="1:4" ht="12.75">
      <c r="A543" s="5" t="s">
        <v>1248</v>
      </c>
      <c r="B543" s="4" t="s">
        <v>644</v>
      </c>
      <c r="C543" s="4">
        <v>3</v>
      </c>
      <c r="D543" s="29" t="s">
        <v>482</v>
      </c>
    </row>
    <row r="544" spans="1:4" ht="12.75">
      <c r="A544" s="5" t="s">
        <v>1249</v>
      </c>
      <c r="B544" s="4" t="s">
        <v>644</v>
      </c>
      <c r="C544" s="4">
        <v>5</v>
      </c>
      <c r="D544" s="29" t="s">
        <v>482</v>
      </c>
    </row>
    <row r="545" spans="1:4" ht="12.75">
      <c r="A545" s="5" t="s">
        <v>1250</v>
      </c>
      <c r="B545" s="4" t="s">
        <v>473</v>
      </c>
      <c r="C545" s="4">
        <v>9</v>
      </c>
      <c r="D545" s="29" t="s">
        <v>469</v>
      </c>
    </row>
    <row r="546" spans="1:4" ht="12.75">
      <c r="A546" s="5" t="s">
        <v>1251</v>
      </c>
      <c r="B546" s="4" t="s">
        <v>517</v>
      </c>
      <c r="C546" s="4">
        <v>0.05</v>
      </c>
      <c r="D546" s="29" t="s">
        <v>482</v>
      </c>
    </row>
    <row r="547" spans="1:4" ht="12.75">
      <c r="A547" s="5" t="s">
        <v>1252</v>
      </c>
      <c r="B547" s="4" t="s">
        <v>473</v>
      </c>
      <c r="C547" s="4">
        <v>410</v>
      </c>
      <c r="D547" s="29" t="s">
        <v>469</v>
      </c>
    </row>
    <row r="548" spans="1:4" ht="12.75">
      <c r="A548" s="5" t="s">
        <v>1253</v>
      </c>
      <c r="B548" s="4" t="s">
        <v>481</v>
      </c>
      <c r="C548" s="4">
        <v>55</v>
      </c>
      <c r="D548" s="29" t="s">
        <v>513</v>
      </c>
    </row>
    <row r="549" spans="1:4" ht="12.75">
      <c r="A549" s="5" t="s">
        <v>1254</v>
      </c>
      <c r="B549" s="4" t="s">
        <v>494</v>
      </c>
      <c r="C549" s="4">
        <v>45</v>
      </c>
      <c r="D549" s="29" t="s">
        <v>482</v>
      </c>
    </row>
    <row r="550" spans="1:4" ht="12.75">
      <c r="A550" s="5" t="s">
        <v>1255</v>
      </c>
      <c r="B550" s="4" t="s">
        <v>494</v>
      </c>
      <c r="C550" s="4">
        <v>1</v>
      </c>
      <c r="D550" s="29" t="s">
        <v>482</v>
      </c>
    </row>
    <row r="551" spans="1:4" ht="12.75">
      <c r="A551" s="5" t="s">
        <v>1256</v>
      </c>
      <c r="B551" s="4" t="s">
        <v>644</v>
      </c>
      <c r="C551" s="4">
        <v>5</v>
      </c>
      <c r="D551" s="29" t="s">
        <v>482</v>
      </c>
    </row>
    <row r="552" spans="1:4" ht="12.75">
      <c r="A552" s="5" t="s">
        <v>1257</v>
      </c>
      <c r="B552" s="4" t="s">
        <v>644</v>
      </c>
      <c r="C552" s="4">
        <v>50</v>
      </c>
      <c r="D552" s="29" t="s">
        <v>482</v>
      </c>
    </row>
    <row r="553" spans="1:4" ht="12.75">
      <c r="A553" s="5" t="s">
        <v>1258</v>
      </c>
      <c r="B553" s="4" t="s">
        <v>644</v>
      </c>
      <c r="C553" s="4">
        <v>20</v>
      </c>
      <c r="D553" s="29" t="s">
        <v>482</v>
      </c>
    </row>
    <row r="554" spans="1:4" ht="12.75">
      <c r="A554" s="5" t="s">
        <v>1259</v>
      </c>
      <c r="B554" s="4" t="s">
        <v>567</v>
      </c>
      <c r="C554" s="4">
        <v>30</v>
      </c>
      <c r="D554" s="29" t="s">
        <v>482</v>
      </c>
    </row>
    <row r="555" spans="1:4" ht="12.75">
      <c r="A555" s="5" t="s">
        <v>1260</v>
      </c>
      <c r="B555" s="4" t="s">
        <v>567</v>
      </c>
      <c r="C555" s="4">
        <v>50</v>
      </c>
      <c r="D555" s="29" t="s">
        <v>482</v>
      </c>
    </row>
    <row r="556" spans="1:4" ht="12.75">
      <c r="A556" s="5" t="s">
        <v>1261</v>
      </c>
      <c r="B556" s="4" t="s">
        <v>644</v>
      </c>
      <c r="C556" s="4">
        <v>0.03</v>
      </c>
      <c r="D556" s="29" t="s">
        <v>482</v>
      </c>
    </row>
    <row r="557" spans="1:4" ht="12.75">
      <c r="A557" s="5" t="s">
        <v>1262</v>
      </c>
      <c r="B557" s="4" t="s">
        <v>590</v>
      </c>
      <c r="C557" s="4">
        <v>22</v>
      </c>
      <c r="D557" s="29" t="s">
        <v>482</v>
      </c>
    </row>
    <row r="558" spans="1:4" ht="12.75">
      <c r="A558" s="5" t="s">
        <v>1263</v>
      </c>
      <c r="B558" s="4" t="s">
        <v>590</v>
      </c>
      <c r="C558" s="4">
        <v>95</v>
      </c>
      <c r="D558" s="29" t="s">
        <v>482</v>
      </c>
    </row>
    <row r="559" spans="1:4" ht="12.75">
      <c r="A559" s="5" t="s">
        <v>1264</v>
      </c>
      <c r="B559" s="4" t="s">
        <v>590</v>
      </c>
      <c r="C559" s="4">
        <v>75</v>
      </c>
      <c r="D559" s="29" t="s">
        <v>482</v>
      </c>
    </row>
    <row r="560" spans="1:4" ht="12.75">
      <c r="A560" s="5" t="s">
        <v>1265</v>
      </c>
      <c r="B560" s="4" t="s">
        <v>590</v>
      </c>
      <c r="C560" s="4">
        <v>14</v>
      </c>
      <c r="D560" s="29" t="s">
        <v>482</v>
      </c>
    </row>
    <row r="561" spans="1:4" ht="12.75">
      <c r="A561" s="5" t="s">
        <v>1266</v>
      </c>
      <c r="B561" s="4" t="s">
        <v>590</v>
      </c>
      <c r="C561" s="4">
        <v>35</v>
      </c>
      <c r="D561" s="29" t="s">
        <v>482</v>
      </c>
    </row>
    <row r="562" spans="1:4" ht="12.75">
      <c r="A562" s="5" t="s">
        <v>1267</v>
      </c>
      <c r="B562" s="4" t="s">
        <v>590</v>
      </c>
      <c r="C562" s="4">
        <v>12</v>
      </c>
      <c r="D562" s="29" t="s">
        <v>482</v>
      </c>
    </row>
    <row r="563" spans="1:4" ht="12.75">
      <c r="A563" s="5" t="s">
        <v>1268</v>
      </c>
      <c r="B563" s="4" t="s">
        <v>590</v>
      </c>
      <c r="C563" s="4">
        <v>15</v>
      </c>
      <c r="D563" s="29" t="s">
        <v>482</v>
      </c>
    </row>
    <row r="564" spans="1:4" ht="12.75">
      <c r="A564" s="5" t="s">
        <v>1269</v>
      </c>
      <c r="B564" s="4" t="s">
        <v>590</v>
      </c>
      <c r="C564" s="4">
        <v>12</v>
      </c>
      <c r="D564" s="29" t="s">
        <v>482</v>
      </c>
    </row>
    <row r="565" spans="1:4" ht="12.75">
      <c r="A565" s="5" t="s">
        <v>1270</v>
      </c>
      <c r="B565" s="4" t="s">
        <v>590</v>
      </c>
      <c r="C565" s="4">
        <v>40</v>
      </c>
      <c r="D565" s="29" t="s">
        <v>482</v>
      </c>
    </row>
    <row r="566" spans="1:4" ht="12.75">
      <c r="A566" s="5" t="s">
        <v>1271</v>
      </c>
      <c r="B566" s="4" t="s">
        <v>567</v>
      </c>
      <c r="C566" s="4">
        <v>10000</v>
      </c>
      <c r="D566" s="29" t="s">
        <v>482</v>
      </c>
    </row>
    <row r="567" spans="1:4" ht="12.75">
      <c r="A567" s="5" t="s">
        <v>1272</v>
      </c>
      <c r="B567" s="4" t="s">
        <v>473</v>
      </c>
      <c r="C567" s="4">
        <v>1420</v>
      </c>
      <c r="D567" s="29" t="s">
        <v>469</v>
      </c>
    </row>
    <row r="568" spans="1:4" ht="12.75">
      <c r="A568" s="5" t="s">
        <v>1273</v>
      </c>
      <c r="B568" s="4" t="s">
        <v>475</v>
      </c>
      <c r="C568" s="4">
        <v>5</v>
      </c>
      <c r="D568" s="29" t="s">
        <v>476</v>
      </c>
    </row>
    <row r="569" spans="1:4" ht="12.75">
      <c r="A569" s="5" t="s">
        <v>1274</v>
      </c>
      <c r="B569" s="4" t="s">
        <v>517</v>
      </c>
      <c r="C569" s="4">
        <v>5</v>
      </c>
      <c r="D569" s="29" t="s">
        <v>691</v>
      </c>
    </row>
    <row r="570" spans="1:4" ht="12.75">
      <c r="A570" s="5" t="s">
        <v>1275</v>
      </c>
      <c r="B570" s="4" t="s">
        <v>465</v>
      </c>
      <c r="C570" s="4">
        <v>2.5</v>
      </c>
      <c r="D570" s="29" t="s">
        <v>466</v>
      </c>
    </row>
    <row r="571" spans="1:4" ht="12.75">
      <c r="A571" s="5" t="s">
        <v>1276</v>
      </c>
      <c r="B571" s="4" t="s">
        <v>465</v>
      </c>
      <c r="C571" s="4">
        <v>0.04</v>
      </c>
      <c r="D571" s="29" t="s">
        <v>560</v>
      </c>
    </row>
    <row r="572" spans="1:4" ht="12.75">
      <c r="A572" s="5" t="s">
        <v>1277</v>
      </c>
      <c r="B572" s="4" t="s">
        <v>465</v>
      </c>
      <c r="C572" s="4">
        <v>0.15</v>
      </c>
      <c r="D572" s="29" t="s">
        <v>560</v>
      </c>
    </row>
    <row r="573" spans="1:4" ht="12.75">
      <c r="A573" s="5" t="s">
        <v>1315</v>
      </c>
      <c r="B573" s="4" t="s">
        <v>465</v>
      </c>
      <c r="C573" s="4">
        <v>4.5</v>
      </c>
      <c r="D573" s="29" t="s">
        <v>560</v>
      </c>
    </row>
    <row r="574" spans="1:4" ht="12.75">
      <c r="A574" s="5" t="s">
        <v>1316</v>
      </c>
      <c r="B574" s="4" t="s">
        <v>465</v>
      </c>
      <c r="C574" s="4">
        <v>0.09</v>
      </c>
      <c r="D574" s="29" t="s">
        <v>560</v>
      </c>
    </row>
    <row r="575" spans="1:4" ht="12.75">
      <c r="A575" s="5" t="s">
        <v>440</v>
      </c>
      <c r="B575" s="4" t="s">
        <v>484</v>
      </c>
      <c r="C575" s="4">
        <v>100</v>
      </c>
      <c r="D575" s="29" t="s">
        <v>482</v>
      </c>
    </row>
    <row r="576" spans="1:4" ht="12.75">
      <c r="A576" s="5" t="s">
        <v>1317</v>
      </c>
      <c r="B576" s="4" t="s">
        <v>473</v>
      </c>
      <c r="C576" s="4">
        <v>500</v>
      </c>
      <c r="D576" s="29" t="s">
        <v>469</v>
      </c>
    </row>
    <row r="577" spans="1:4" ht="12.75">
      <c r="A577" s="5" t="s">
        <v>1318</v>
      </c>
      <c r="B577" s="4" t="s">
        <v>644</v>
      </c>
      <c r="C577" s="4">
        <v>0.1</v>
      </c>
      <c r="D577" s="29" t="s">
        <v>482</v>
      </c>
    </row>
    <row r="578" spans="1:4" ht="12.75">
      <c r="A578" s="5" t="s">
        <v>1319</v>
      </c>
      <c r="B578" s="4" t="s">
        <v>517</v>
      </c>
      <c r="C578" s="4">
        <v>40</v>
      </c>
      <c r="D578" s="29" t="s">
        <v>469</v>
      </c>
    </row>
    <row r="579" spans="1:4" ht="12.75">
      <c r="A579" s="5" t="s">
        <v>1320</v>
      </c>
      <c r="B579" s="4" t="s">
        <v>481</v>
      </c>
      <c r="C579" s="4">
        <v>75</v>
      </c>
      <c r="D579" s="29" t="s">
        <v>513</v>
      </c>
    </row>
    <row r="580" spans="1:4" ht="12.75">
      <c r="A580" s="5" t="s">
        <v>1321</v>
      </c>
      <c r="B580" s="4" t="s">
        <v>481</v>
      </c>
      <c r="C580" s="4">
        <v>4</v>
      </c>
      <c r="D580" s="29" t="s">
        <v>513</v>
      </c>
    </row>
    <row r="581" spans="1:4" ht="12.75">
      <c r="A581" s="5" t="s">
        <v>1322</v>
      </c>
      <c r="B581" s="4" t="s">
        <v>481</v>
      </c>
      <c r="C581" s="4">
        <v>6</v>
      </c>
      <c r="D581" s="29" t="s">
        <v>513</v>
      </c>
    </row>
    <row r="582" spans="1:4" ht="12.75">
      <c r="A582" s="5" t="s">
        <v>1323</v>
      </c>
      <c r="B582" s="4" t="s">
        <v>481</v>
      </c>
      <c r="C582" s="4">
        <v>10</v>
      </c>
      <c r="D582" s="29" t="s">
        <v>513</v>
      </c>
    </row>
    <row r="583" spans="1:4" ht="12.75">
      <c r="A583" s="5" t="s">
        <v>1324</v>
      </c>
      <c r="B583" s="4" t="s">
        <v>465</v>
      </c>
      <c r="C583" s="4">
        <v>0.3</v>
      </c>
      <c r="D583" s="29" t="s">
        <v>560</v>
      </c>
    </row>
    <row r="584" spans="1:4" ht="12.75">
      <c r="A584" s="5" t="s">
        <v>1325</v>
      </c>
      <c r="B584" s="4" t="s">
        <v>473</v>
      </c>
      <c r="C584" s="4">
        <v>150</v>
      </c>
      <c r="D584" s="29" t="s">
        <v>469</v>
      </c>
    </row>
    <row r="585" spans="1:4" ht="12.75">
      <c r="A585" s="5" t="s">
        <v>1326</v>
      </c>
      <c r="B585" s="4" t="s">
        <v>500</v>
      </c>
      <c r="C585" s="4">
        <v>0.04</v>
      </c>
      <c r="D585" s="29" t="s">
        <v>466</v>
      </c>
    </row>
    <row r="586" spans="1:4" ht="12.75">
      <c r="A586" s="5" t="s">
        <v>1327</v>
      </c>
      <c r="B586" s="4" t="s">
        <v>465</v>
      </c>
      <c r="C586" s="4">
        <v>0.25</v>
      </c>
      <c r="D586" s="29" t="s">
        <v>560</v>
      </c>
    </row>
    <row r="587" spans="1:4" ht="12.75">
      <c r="A587" s="5" t="s">
        <v>1328</v>
      </c>
      <c r="B587" s="4" t="s">
        <v>500</v>
      </c>
      <c r="C587" s="4">
        <v>0.01</v>
      </c>
      <c r="D587" s="29" t="s">
        <v>482</v>
      </c>
    </row>
    <row r="588" spans="1:4" ht="12.75">
      <c r="A588" s="5" t="s">
        <v>1329</v>
      </c>
      <c r="B588" s="4" t="s">
        <v>500</v>
      </c>
      <c r="C588" s="4">
        <v>1</v>
      </c>
      <c r="D588" s="29" t="s">
        <v>482</v>
      </c>
    </row>
    <row r="589" spans="1:4" ht="12.75">
      <c r="A589" s="5" t="s">
        <v>1330</v>
      </c>
      <c r="B589" s="4" t="s">
        <v>500</v>
      </c>
      <c r="C589" s="4">
        <v>0.25</v>
      </c>
      <c r="D589" s="29" t="s">
        <v>482</v>
      </c>
    </row>
    <row r="590" spans="1:4" ht="12.75">
      <c r="A590" s="5" t="s">
        <v>1331</v>
      </c>
      <c r="B590" s="4" t="s">
        <v>481</v>
      </c>
      <c r="C590" s="4">
        <v>1</v>
      </c>
      <c r="D590" s="29" t="s">
        <v>513</v>
      </c>
    </row>
    <row r="591" spans="1:4" ht="12.75">
      <c r="A591" s="5" t="s">
        <v>1332</v>
      </c>
      <c r="B591" s="4" t="s">
        <v>500</v>
      </c>
      <c r="C591" s="4">
        <v>4</v>
      </c>
      <c r="D591" s="29" t="s">
        <v>482</v>
      </c>
    </row>
    <row r="592" spans="1:4" ht="12.75">
      <c r="A592" s="5" t="s">
        <v>1333</v>
      </c>
      <c r="B592" s="4" t="s">
        <v>481</v>
      </c>
      <c r="C592" s="4">
        <v>1</v>
      </c>
      <c r="D592" s="29" t="s">
        <v>513</v>
      </c>
    </row>
    <row r="593" spans="1:4" ht="12.75">
      <c r="A593" s="5" t="s">
        <v>1334</v>
      </c>
      <c r="B593" s="4" t="s">
        <v>484</v>
      </c>
      <c r="C593" s="4">
        <v>15</v>
      </c>
      <c r="D593" s="29" t="s">
        <v>482</v>
      </c>
    </row>
    <row r="594" spans="1:4" ht="12.75">
      <c r="A594" s="5" t="s">
        <v>1335</v>
      </c>
      <c r="B594" s="4" t="s">
        <v>500</v>
      </c>
      <c r="C594" s="4">
        <v>12</v>
      </c>
      <c r="D594" s="29" t="s">
        <v>503</v>
      </c>
    </row>
    <row r="595" spans="1:4" ht="12.75">
      <c r="A595" s="5" t="s">
        <v>1336</v>
      </c>
      <c r="B595" s="4" t="s">
        <v>500</v>
      </c>
      <c r="C595" s="4">
        <v>9</v>
      </c>
      <c r="D595" s="29" t="s">
        <v>503</v>
      </c>
    </row>
    <row r="596" spans="1:4" ht="12.75">
      <c r="A596" s="5" t="s">
        <v>1337</v>
      </c>
      <c r="B596" s="4" t="s">
        <v>484</v>
      </c>
      <c r="C596" s="4">
        <v>1</v>
      </c>
      <c r="D596" s="29" t="s">
        <v>482</v>
      </c>
    </row>
    <row r="597" spans="1:4" ht="12.75">
      <c r="A597" s="5" t="s">
        <v>1338</v>
      </c>
      <c r="B597" s="4" t="s">
        <v>563</v>
      </c>
      <c r="C597" s="4">
        <v>74</v>
      </c>
      <c r="D597" s="29" t="s">
        <v>482</v>
      </c>
    </row>
    <row r="598" spans="1:4" ht="12.75">
      <c r="A598" s="5" t="s">
        <v>459</v>
      </c>
      <c r="B598" s="4" t="s">
        <v>484</v>
      </c>
      <c r="C598" s="4">
        <v>0.01</v>
      </c>
      <c r="D598" s="29" t="s">
        <v>482</v>
      </c>
    </row>
    <row r="599" spans="1:4" ht="12.75">
      <c r="A599" s="5" t="s">
        <v>1339</v>
      </c>
      <c r="B599" s="4" t="s">
        <v>484</v>
      </c>
      <c r="C599" s="4">
        <v>15</v>
      </c>
      <c r="D599" s="29" t="s">
        <v>482</v>
      </c>
    </row>
    <row r="600" spans="1:4" ht="12.75">
      <c r="A600" s="5" t="s">
        <v>1340</v>
      </c>
      <c r="B600" s="4" t="s">
        <v>486</v>
      </c>
      <c r="C600" s="4">
        <v>0.1</v>
      </c>
      <c r="D600" s="29" t="s">
        <v>487</v>
      </c>
    </row>
    <row r="601" spans="1:4" ht="12.75">
      <c r="A601" s="5" t="s">
        <v>1341</v>
      </c>
      <c r="B601" s="4" t="s">
        <v>473</v>
      </c>
      <c r="C601" s="4">
        <v>650</v>
      </c>
      <c r="D601" s="29" t="s">
        <v>469</v>
      </c>
    </row>
    <row r="602" spans="1:4" ht="12.75">
      <c r="A602" s="5" t="s">
        <v>1342</v>
      </c>
      <c r="B602" s="4" t="s">
        <v>465</v>
      </c>
      <c r="C602" s="4">
        <v>0.15</v>
      </c>
      <c r="D602" s="29" t="s">
        <v>466</v>
      </c>
    </row>
    <row r="603" spans="1:4" ht="12.75">
      <c r="A603" s="5" t="s">
        <v>1343</v>
      </c>
      <c r="B603" s="4" t="s">
        <v>500</v>
      </c>
      <c r="C603" s="4">
        <v>2</v>
      </c>
      <c r="D603" s="29" t="s">
        <v>482</v>
      </c>
    </row>
    <row r="604" spans="1:4" ht="12.75">
      <c r="A604" s="5" t="s">
        <v>1344</v>
      </c>
      <c r="B604" s="4" t="s">
        <v>500</v>
      </c>
      <c r="C604" s="4">
        <v>1</v>
      </c>
      <c r="D604" s="29" t="s">
        <v>482</v>
      </c>
    </row>
    <row r="605" spans="1:4" ht="12.75">
      <c r="A605" s="5" t="s">
        <v>1345</v>
      </c>
      <c r="B605" s="4" t="s">
        <v>481</v>
      </c>
      <c r="C605" s="4">
        <v>0.2</v>
      </c>
      <c r="D605" s="29" t="s">
        <v>1346</v>
      </c>
    </row>
    <row r="606" spans="1:4" ht="12.75">
      <c r="A606" s="5" t="s">
        <v>1347</v>
      </c>
      <c r="B606" s="4" t="s">
        <v>473</v>
      </c>
      <c r="C606" s="4">
        <v>270</v>
      </c>
      <c r="D606" s="29" t="s">
        <v>469</v>
      </c>
    </row>
    <row r="607" spans="1:4" ht="12.75">
      <c r="A607" s="5" t="s">
        <v>1348</v>
      </c>
      <c r="B607" s="4" t="s">
        <v>494</v>
      </c>
      <c r="C607" s="4">
        <v>10</v>
      </c>
      <c r="D607" s="29" t="s">
        <v>482</v>
      </c>
    </row>
    <row r="608" spans="1:4" ht="12.75">
      <c r="A608" s="5" t="s">
        <v>1349</v>
      </c>
      <c r="B608" s="4" t="s">
        <v>486</v>
      </c>
      <c r="C608" s="4">
        <v>0.01</v>
      </c>
      <c r="D608" s="29" t="s">
        <v>487</v>
      </c>
    </row>
    <row r="609" spans="1:4" ht="12.75">
      <c r="A609" s="5" t="s">
        <v>1350</v>
      </c>
      <c r="B609" s="4" t="s">
        <v>517</v>
      </c>
      <c r="C609" s="4">
        <v>2</v>
      </c>
      <c r="D609" s="29" t="s">
        <v>542</v>
      </c>
    </row>
    <row r="610" spans="1:4" ht="12.75">
      <c r="A610" s="5" t="s">
        <v>1351</v>
      </c>
      <c r="B610" s="4" t="s">
        <v>491</v>
      </c>
      <c r="C610" s="4">
        <v>0.05</v>
      </c>
      <c r="D610" s="29" t="s">
        <v>1352</v>
      </c>
    </row>
    <row r="611" spans="1:4" ht="12.75">
      <c r="A611" s="5" t="s">
        <v>1353</v>
      </c>
      <c r="B611" s="4" t="s">
        <v>590</v>
      </c>
      <c r="C611" s="4">
        <v>12</v>
      </c>
      <c r="D611" s="29" t="s">
        <v>482</v>
      </c>
    </row>
    <row r="612" spans="1:4" ht="12.75">
      <c r="A612" s="5" t="s">
        <v>1354</v>
      </c>
      <c r="B612" s="4" t="s">
        <v>590</v>
      </c>
      <c r="C612" s="4">
        <v>65</v>
      </c>
      <c r="D612" s="29" t="s">
        <v>482</v>
      </c>
    </row>
    <row r="613" spans="1:4" ht="12.75">
      <c r="A613" s="5" t="s">
        <v>1355</v>
      </c>
      <c r="B613" s="4" t="s">
        <v>590</v>
      </c>
      <c r="C613" s="4">
        <v>3</v>
      </c>
      <c r="D613" s="29" t="s">
        <v>482</v>
      </c>
    </row>
    <row r="614" spans="1:4" ht="12.75">
      <c r="A614" s="5" t="s">
        <v>1356</v>
      </c>
      <c r="B614" s="4" t="s">
        <v>590</v>
      </c>
      <c r="C614" s="4">
        <v>10</v>
      </c>
      <c r="D614" s="29" t="s">
        <v>482</v>
      </c>
    </row>
    <row r="615" spans="1:4" ht="12.75">
      <c r="A615" s="5" t="s">
        <v>1357</v>
      </c>
      <c r="B615" s="4" t="s">
        <v>590</v>
      </c>
      <c r="C615" s="4">
        <v>6</v>
      </c>
      <c r="D615" s="29" t="s">
        <v>482</v>
      </c>
    </row>
    <row r="616" spans="1:4" ht="12.75">
      <c r="A616" s="5" t="s">
        <v>1358</v>
      </c>
      <c r="B616" s="4" t="s">
        <v>590</v>
      </c>
      <c r="C616" s="4">
        <v>35</v>
      </c>
      <c r="D616" s="29" t="s">
        <v>482</v>
      </c>
    </row>
    <row r="617" spans="1:4" ht="12.75">
      <c r="A617" s="5" t="s">
        <v>1359</v>
      </c>
      <c r="B617" s="4" t="s">
        <v>590</v>
      </c>
      <c r="C617" s="4">
        <v>50</v>
      </c>
      <c r="D617" s="29" t="s">
        <v>482</v>
      </c>
    </row>
    <row r="618" spans="1:4" ht="12.75">
      <c r="A618" s="5" t="s">
        <v>1360</v>
      </c>
      <c r="B618" s="4" t="s">
        <v>590</v>
      </c>
      <c r="C618" s="4">
        <v>45</v>
      </c>
      <c r="D618" s="29" t="s">
        <v>482</v>
      </c>
    </row>
    <row r="619" spans="1:4" ht="12.75">
      <c r="A619" s="5" t="s">
        <v>1361</v>
      </c>
      <c r="B619" s="4" t="s">
        <v>590</v>
      </c>
      <c r="C619" s="4">
        <v>4</v>
      </c>
      <c r="D619" s="29" t="s">
        <v>482</v>
      </c>
    </row>
    <row r="620" spans="1:4" ht="12.75">
      <c r="A620" s="5" t="s">
        <v>1362</v>
      </c>
      <c r="B620" s="4" t="s">
        <v>563</v>
      </c>
      <c r="C620" s="4">
        <v>3</v>
      </c>
      <c r="D620" s="29" t="s">
        <v>482</v>
      </c>
    </row>
    <row r="621" spans="1:4" ht="12.75">
      <c r="A621" s="5" t="s">
        <v>1363</v>
      </c>
      <c r="B621" s="4" t="s">
        <v>517</v>
      </c>
      <c r="C621" s="4">
        <v>0.3</v>
      </c>
      <c r="D621" s="29" t="s">
        <v>482</v>
      </c>
    </row>
    <row r="622" spans="1:4" ht="12.75">
      <c r="A622" s="5" t="s">
        <v>1365</v>
      </c>
      <c r="B622" s="4" t="s">
        <v>517</v>
      </c>
      <c r="C622" s="4">
        <v>5</v>
      </c>
      <c r="D622" s="29" t="s">
        <v>482</v>
      </c>
    </row>
    <row r="623" spans="1:4" ht="12.75">
      <c r="A623" s="5" t="s">
        <v>1366</v>
      </c>
      <c r="B623" s="4" t="s">
        <v>500</v>
      </c>
      <c r="C623" s="4">
        <v>0.3</v>
      </c>
      <c r="D623" s="29" t="s">
        <v>482</v>
      </c>
    </row>
    <row r="624" spans="1:4" ht="12.75">
      <c r="A624" s="5" t="s">
        <v>1367</v>
      </c>
      <c r="B624" s="4" t="s">
        <v>494</v>
      </c>
      <c r="C624" s="4">
        <v>5000</v>
      </c>
      <c r="D624" s="29" t="s">
        <v>482</v>
      </c>
    </row>
    <row r="625" spans="1:4" ht="12.75">
      <c r="A625" s="5" t="s">
        <v>1368</v>
      </c>
      <c r="B625" s="4" t="s">
        <v>517</v>
      </c>
      <c r="C625" s="4">
        <v>2</v>
      </c>
      <c r="D625" s="29" t="s">
        <v>482</v>
      </c>
    </row>
    <row r="626" spans="1:4" ht="12.75">
      <c r="A626" s="5" t="s">
        <v>1369</v>
      </c>
      <c r="B626" s="4" t="s">
        <v>517</v>
      </c>
      <c r="C626" s="4">
        <v>10</v>
      </c>
      <c r="D626" s="29" t="s">
        <v>482</v>
      </c>
    </row>
    <row r="627" spans="1:4" ht="12.75">
      <c r="A627" s="5" t="s">
        <v>1370</v>
      </c>
      <c r="B627" s="4" t="s">
        <v>481</v>
      </c>
      <c r="C627" s="4">
        <v>10</v>
      </c>
      <c r="D627" s="29" t="s">
        <v>513</v>
      </c>
    </row>
    <row r="628" spans="1:4" ht="12.75">
      <c r="A628" s="5" t="s">
        <v>1371</v>
      </c>
      <c r="B628" s="4" t="s">
        <v>481</v>
      </c>
      <c r="C628" s="4">
        <v>150</v>
      </c>
      <c r="D628" s="29" t="s">
        <v>513</v>
      </c>
    </row>
    <row r="629" spans="1:4" ht="12.75">
      <c r="A629" s="5" t="s">
        <v>1372</v>
      </c>
      <c r="B629" s="4" t="s">
        <v>517</v>
      </c>
      <c r="C629" s="4">
        <v>15</v>
      </c>
      <c r="D629" s="29" t="s">
        <v>600</v>
      </c>
    </row>
    <row r="630" spans="1:4" ht="12.75">
      <c r="A630" s="5" t="s">
        <v>1373</v>
      </c>
      <c r="B630" s="4" t="s">
        <v>494</v>
      </c>
      <c r="C630" s="4">
        <v>0.2</v>
      </c>
      <c r="D630" s="29" t="s">
        <v>482</v>
      </c>
    </row>
    <row r="631" spans="1:4" ht="12.75">
      <c r="A631" s="5" t="s">
        <v>1374</v>
      </c>
      <c r="B631" s="4" t="s">
        <v>473</v>
      </c>
      <c r="C631" s="4">
        <v>1540</v>
      </c>
      <c r="D631" s="29" t="s">
        <v>469</v>
      </c>
    </row>
    <row r="632" spans="1:4" ht="12.75">
      <c r="A632" s="5" t="s">
        <v>1375</v>
      </c>
      <c r="B632" s="4" t="s">
        <v>473</v>
      </c>
      <c r="C632" s="4">
        <v>530</v>
      </c>
      <c r="D632" s="29" t="s">
        <v>469</v>
      </c>
    </row>
    <row r="633" spans="1:4" ht="12.75">
      <c r="A633" s="5" t="s">
        <v>1376</v>
      </c>
      <c r="B633" s="4" t="s">
        <v>567</v>
      </c>
      <c r="C633" s="4">
        <v>3000</v>
      </c>
      <c r="D633" s="29" t="s">
        <v>482</v>
      </c>
    </row>
    <row r="634" spans="1:4" ht="12.75">
      <c r="A634" s="5" t="s">
        <v>1377</v>
      </c>
      <c r="B634" s="4" t="s">
        <v>484</v>
      </c>
      <c r="C634" s="4">
        <v>6</v>
      </c>
      <c r="D634" s="29" t="s">
        <v>482</v>
      </c>
    </row>
    <row r="635" spans="1:4" ht="12.75">
      <c r="A635" s="5" t="s">
        <v>1378</v>
      </c>
      <c r="B635" s="4" t="s">
        <v>484</v>
      </c>
      <c r="C635" s="4">
        <v>3</v>
      </c>
      <c r="D635" s="29" t="s">
        <v>482</v>
      </c>
    </row>
    <row r="636" spans="1:4" ht="12.75">
      <c r="A636" s="5" t="s">
        <v>1379</v>
      </c>
      <c r="B636" s="4" t="s">
        <v>465</v>
      </c>
      <c r="C636" s="4">
        <v>3.5</v>
      </c>
      <c r="D636" s="29" t="s">
        <v>466</v>
      </c>
    </row>
    <row r="637" spans="1:4" ht="12.75">
      <c r="A637" s="5" t="s">
        <v>1380</v>
      </c>
      <c r="B637" s="4" t="s">
        <v>465</v>
      </c>
      <c r="C637" s="4">
        <v>3.65</v>
      </c>
      <c r="D637" s="29" t="s">
        <v>466</v>
      </c>
    </row>
    <row r="638" spans="1:4" ht="12.75">
      <c r="A638" s="5" t="s">
        <v>1381</v>
      </c>
      <c r="B638" s="4" t="s">
        <v>465</v>
      </c>
      <c r="C638" s="4">
        <v>6.2</v>
      </c>
      <c r="D638" s="29" t="s">
        <v>466</v>
      </c>
    </row>
    <row r="639" spans="1:4" ht="12.75">
      <c r="A639" s="5" t="s">
        <v>1382</v>
      </c>
      <c r="B639" s="4" t="s">
        <v>517</v>
      </c>
      <c r="C639" s="4">
        <v>0.35</v>
      </c>
      <c r="D639" s="29" t="s">
        <v>482</v>
      </c>
    </row>
    <row r="640" spans="1:4" ht="12.75">
      <c r="A640" s="5" t="s">
        <v>1383</v>
      </c>
      <c r="B640" s="4" t="s">
        <v>500</v>
      </c>
      <c r="C640" s="4">
        <v>15</v>
      </c>
      <c r="D640" s="29" t="s">
        <v>691</v>
      </c>
    </row>
    <row r="641" spans="1:4" ht="12.75">
      <c r="A641" s="5" t="s">
        <v>1384</v>
      </c>
      <c r="B641" s="4" t="s">
        <v>567</v>
      </c>
      <c r="C641" s="4">
        <v>10000</v>
      </c>
      <c r="D641" s="29" t="s">
        <v>482</v>
      </c>
    </row>
    <row r="642" spans="1:4" ht="12.75">
      <c r="A642" s="5" t="s">
        <v>1385</v>
      </c>
      <c r="B642" s="4" t="s">
        <v>494</v>
      </c>
      <c r="C642" s="4">
        <v>1000</v>
      </c>
      <c r="D642" s="29" t="s">
        <v>1177</v>
      </c>
    </row>
    <row r="643" spans="1:4" ht="12.75">
      <c r="A643" s="5" t="s">
        <v>1386</v>
      </c>
      <c r="B643" s="4" t="s">
        <v>481</v>
      </c>
      <c r="C643" s="4">
        <v>1</v>
      </c>
      <c r="D643" s="29" t="s">
        <v>513</v>
      </c>
    </row>
    <row r="644" spans="1:4" ht="12.75">
      <c r="A644" s="5" t="s">
        <v>1387</v>
      </c>
      <c r="B644" s="4" t="s">
        <v>465</v>
      </c>
      <c r="C644" s="4">
        <v>0.4</v>
      </c>
      <c r="D644" s="29" t="s">
        <v>466</v>
      </c>
    </row>
    <row r="645" spans="1:4" ht="12.75">
      <c r="A645" s="5" t="s">
        <v>1388</v>
      </c>
      <c r="B645" s="4" t="s">
        <v>484</v>
      </c>
      <c r="C645" s="4">
        <v>75</v>
      </c>
      <c r="D645" s="29" t="s">
        <v>482</v>
      </c>
    </row>
    <row r="646" spans="1:4" ht="12.75">
      <c r="A646" s="5" t="s">
        <v>1389</v>
      </c>
      <c r="B646" s="4" t="s">
        <v>484</v>
      </c>
      <c r="C646" s="4">
        <v>100</v>
      </c>
      <c r="D646" s="29" t="s">
        <v>482</v>
      </c>
    </row>
    <row r="647" spans="1:4" ht="12.75">
      <c r="A647" s="5" t="s">
        <v>1390</v>
      </c>
      <c r="B647" s="4" t="s">
        <v>484</v>
      </c>
      <c r="C647" s="4">
        <v>10</v>
      </c>
      <c r="D647" s="29" t="s">
        <v>482</v>
      </c>
    </row>
    <row r="648" spans="1:4" ht="12.75">
      <c r="A648" s="5" t="s">
        <v>1391</v>
      </c>
      <c r="B648" s="4" t="s">
        <v>475</v>
      </c>
      <c r="C648" s="4">
        <v>10</v>
      </c>
      <c r="D648" s="29" t="s">
        <v>476</v>
      </c>
    </row>
    <row r="649" spans="1:4" ht="12.75">
      <c r="A649" s="5" t="s">
        <v>1392</v>
      </c>
      <c r="B649" s="4" t="s">
        <v>500</v>
      </c>
      <c r="C649" s="4">
        <v>0.3</v>
      </c>
      <c r="D649" s="29" t="s">
        <v>482</v>
      </c>
    </row>
    <row r="650" spans="1:4" ht="12.75">
      <c r="A650" s="5" t="s">
        <v>1393</v>
      </c>
      <c r="B650" s="4" t="s">
        <v>500</v>
      </c>
      <c r="C650" s="4">
        <v>0.05</v>
      </c>
      <c r="D650" s="29" t="s">
        <v>482</v>
      </c>
    </row>
    <row r="651" spans="1:4" ht="12.75">
      <c r="A651" s="5" t="s">
        <v>1394</v>
      </c>
      <c r="B651" s="4" t="s">
        <v>486</v>
      </c>
      <c r="C651" s="4">
        <v>0.1</v>
      </c>
      <c r="D651" s="29" t="s">
        <v>487</v>
      </c>
    </row>
    <row r="652" spans="1:4" ht="12.75">
      <c r="A652" s="5" t="s">
        <v>1395</v>
      </c>
      <c r="B652" s="4" t="s">
        <v>484</v>
      </c>
      <c r="C652" s="4">
        <v>5</v>
      </c>
      <c r="D652" s="29" t="s">
        <v>482</v>
      </c>
    </row>
    <row r="653" spans="1:4" ht="12.75">
      <c r="A653" s="5" t="s">
        <v>1396</v>
      </c>
      <c r="B653" s="4" t="s">
        <v>465</v>
      </c>
      <c r="C653" s="4">
        <v>0.02</v>
      </c>
      <c r="D653" s="29" t="s">
        <v>466</v>
      </c>
    </row>
    <row r="654" spans="1:4" ht="12.75">
      <c r="A654" s="5" t="s">
        <v>1415</v>
      </c>
      <c r="B654" s="4" t="s">
        <v>517</v>
      </c>
      <c r="C654" s="4">
        <v>20</v>
      </c>
      <c r="D654" s="29" t="s">
        <v>600</v>
      </c>
    </row>
    <row r="655" spans="1:4" ht="12.75">
      <c r="A655" s="5" t="s">
        <v>1416</v>
      </c>
      <c r="B655" s="4" t="s">
        <v>517</v>
      </c>
      <c r="C655" s="4">
        <v>15</v>
      </c>
      <c r="D655" s="29" t="s">
        <v>600</v>
      </c>
    </row>
    <row r="656" spans="1:4" ht="12.75">
      <c r="A656" s="5" t="s">
        <v>1417</v>
      </c>
      <c r="B656" s="4" t="s">
        <v>491</v>
      </c>
      <c r="C656" s="4">
        <v>8</v>
      </c>
      <c r="D656" s="29" t="s">
        <v>482</v>
      </c>
    </row>
    <row r="657" spans="1:4" ht="12.75">
      <c r="A657" s="5" t="s">
        <v>1418</v>
      </c>
      <c r="B657" s="4" t="s">
        <v>481</v>
      </c>
      <c r="C657" s="4">
        <v>4</v>
      </c>
      <c r="D657" s="29" t="s">
        <v>513</v>
      </c>
    </row>
    <row r="658" spans="1:4" ht="12.75">
      <c r="A658" s="5" t="s">
        <v>1518</v>
      </c>
      <c r="B658" s="4" t="s">
        <v>465</v>
      </c>
      <c r="C658" s="4">
        <v>0.01</v>
      </c>
      <c r="D658" s="29" t="s">
        <v>466</v>
      </c>
    </row>
    <row r="659" spans="1:4" ht="12.75">
      <c r="A659" s="5" t="s">
        <v>1519</v>
      </c>
      <c r="B659" s="4" t="s">
        <v>500</v>
      </c>
      <c r="C659" s="4">
        <v>0.01</v>
      </c>
      <c r="D659" s="29" t="s">
        <v>482</v>
      </c>
    </row>
    <row r="660" spans="1:4" ht="12.75">
      <c r="A660" s="5" t="s">
        <v>1520</v>
      </c>
      <c r="B660" s="4" t="s">
        <v>644</v>
      </c>
      <c r="C660" s="4">
        <v>500</v>
      </c>
      <c r="D660" s="29" t="s">
        <v>482</v>
      </c>
    </row>
    <row r="661" spans="1:4" ht="12.75">
      <c r="A661" s="5" t="s">
        <v>456</v>
      </c>
      <c r="B661" s="4" t="s">
        <v>484</v>
      </c>
      <c r="C661" s="4">
        <v>5</v>
      </c>
      <c r="D661" s="29" t="s">
        <v>482</v>
      </c>
    </row>
    <row r="662" spans="1:4" ht="12.75">
      <c r="A662" s="5" t="s">
        <v>1521</v>
      </c>
      <c r="B662" s="4" t="s">
        <v>484</v>
      </c>
      <c r="C662" s="4">
        <v>2</v>
      </c>
      <c r="D662" s="29" t="s">
        <v>482</v>
      </c>
    </row>
    <row r="663" spans="1:4" ht="12.75">
      <c r="A663" s="5" t="s">
        <v>455</v>
      </c>
      <c r="B663" s="4" t="s">
        <v>484</v>
      </c>
      <c r="C663" s="4">
        <v>5</v>
      </c>
      <c r="D663" s="29" t="s">
        <v>482</v>
      </c>
    </row>
    <row r="664" spans="1:4" ht="12.75">
      <c r="A664" s="5" t="s">
        <v>1522</v>
      </c>
      <c r="B664" s="4" t="s">
        <v>491</v>
      </c>
      <c r="C664" s="4">
        <v>6</v>
      </c>
      <c r="D664" s="29" t="s">
        <v>600</v>
      </c>
    </row>
    <row r="665" spans="1:4" ht="12.75">
      <c r="A665" s="5" t="s">
        <v>430</v>
      </c>
      <c r="B665" s="4" t="s">
        <v>484</v>
      </c>
      <c r="C665" s="4">
        <v>10</v>
      </c>
      <c r="D665" s="29" t="s">
        <v>482</v>
      </c>
    </row>
    <row r="666" spans="1:4" ht="12.75">
      <c r="A666" s="5" t="s">
        <v>1523</v>
      </c>
      <c r="B666" s="4" t="s">
        <v>481</v>
      </c>
      <c r="C666" s="4">
        <v>1.5</v>
      </c>
      <c r="D666" s="29" t="s">
        <v>513</v>
      </c>
    </row>
    <row r="667" spans="1:4" ht="12.75">
      <c r="A667" s="5" t="s">
        <v>1524</v>
      </c>
      <c r="B667" s="4" t="s">
        <v>481</v>
      </c>
      <c r="C667" s="4">
        <v>20</v>
      </c>
      <c r="D667" s="29" t="s">
        <v>513</v>
      </c>
    </row>
    <row r="668" spans="1:4" ht="12.75">
      <c r="A668" s="5" t="s">
        <v>1525</v>
      </c>
      <c r="B668" s="4" t="s">
        <v>644</v>
      </c>
      <c r="C668" s="4">
        <v>10</v>
      </c>
      <c r="D668" s="29" t="s">
        <v>482</v>
      </c>
    </row>
    <row r="669" spans="1:4" ht="12.75">
      <c r="A669" s="5" t="s">
        <v>1526</v>
      </c>
      <c r="B669" s="4" t="s">
        <v>465</v>
      </c>
      <c r="C669" s="4">
        <v>0.01</v>
      </c>
      <c r="D669" s="29" t="s">
        <v>560</v>
      </c>
    </row>
    <row r="670" spans="1:4" ht="12.75">
      <c r="A670" s="5" t="s">
        <v>1527</v>
      </c>
      <c r="B670" s="4" t="s">
        <v>479</v>
      </c>
      <c r="C670" s="4">
        <v>0.75</v>
      </c>
      <c r="D670" s="29" t="s">
        <v>466</v>
      </c>
    </row>
    <row r="671" spans="1:4" ht="12.75">
      <c r="A671" s="5" t="s">
        <v>1528</v>
      </c>
      <c r="B671" s="4" t="s">
        <v>479</v>
      </c>
      <c r="C671" s="4">
        <v>0.25</v>
      </c>
      <c r="D671" s="29" t="s">
        <v>466</v>
      </c>
    </row>
    <row r="672" spans="1:4" ht="12.75">
      <c r="A672" s="5" t="s">
        <v>1529</v>
      </c>
      <c r="B672" s="4" t="s">
        <v>500</v>
      </c>
      <c r="C672" s="4">
        <v>25</v>
      </c>
      <c r="D672" s="29" t="s">
        <v>482</v>
      </c>
    </row>
    <row r="673" spans="1:4" ht="12.75">
      <c r="A673" s="5" t="s">
        <v>1530</v>
      </c>
      <c r="B673" s="4" t="s">
        <v>465</v>
      </c>
      <c r="C673" s="4">
        <v>0.02</v>
      </c>
      <c r="D673" s="29" t="s">
        <v>466</v>
      </c>
    </row>
    <row r="674" spans="1:4" ht="12.75">
      <c r="A674" s="5" t="s">
        <v>1531</v>
      </c>
      <c r="B674" s="4" t="s">
        <v>484</v>
      </c>
      <c r="C674" s="4">
        <v>30</v>
      </c>
      <c r="D674" s="29" t="s">
        <v>482</v>
      </c>
    </row>
    <row r="675" spans="1:4" ht="12.75">
      <c r="A675" s="5" t="s">
        <v>1532</v>
      </c>
      <c r="B675" s="4" t="s">
        <v>523</v>
      </c>
      <c r="C675" s="4">
        <v>0.05</v>
      </c>
      <c r="D675" s="29" t="s">
        <v>482</v>
      </c>
    </row>
    <row r="676" spans="1:4" ht="12.75">
      <c r="A676" s="5" t="s">
        <v>436</v>
      </c>
      <c r="B676" s="4" t="s">
        <v>484</v>
      </c>
      <c r="C676" s="4">
        <v>10</v>
      </c>
      <c r="D676" s="29" t="s">
        <v>482</v>
      </c>
    </row>
    <row r="677" spans="1:4" ht="12.75">
      <c r="A677" s="5" t="s">
        <v>1533</v>
      </c>
      <c r="B677" s="4" t="s">
        <v>567</v>
      </c>
      <c r="C677" s="4">
        <v>5000</v>
      </c>
      <c r="D677" s="29" t="s">
        <v>482</v>
      </c>
    </row>
    <row r="678" spans="1:4" ht="12.75">
      <c r="A678" s="5" t="s">
        <v>1534</v>
      </c>
      <c r="B678" s="4" t="s">
        <v>567</v>
      </c>
      <c r="C678" s="4">
        <v>150</v>
      </c>
      <c r="D678" s="29" t="s">
        <v>482</v>
      </c>
    </row>
    <row r="679" spans="1:4" ht="12.75">
      <c r="A679" s="5" t="s">
        <v>1535</v>
      </c>
      <c r="B679" s="4" t="s">
        <v>567</v>
      </c>
      <c r="C679" s="4">
        <v>7000</v>
      </c>
      <c r="D679" s="29" t="s">
        <v>482</v>
      </c>
    </row>
    <row r="680" spans="1:4" ht="12.75">
      <c r="A680" s="5" t="s">
        <v>1536</v>
      </c>
      <c r="B680" s="4" t="s">
        <v>465</v>
      </c>
      <c r="C680" s="4">
        <v>0.15</v>
      </c>
      <c r="D680" s="29" t="s">
        <v>466</v>
      </c>
    </row>
    <row r="681" spans="1:4" ht="12.75">
      <c r="A681" s="5" t="s">
        <v>1537</v>
      </c>
      <c r="B681" s="4" t="s">
        <v>465</v>
      </c>
      <c r="C681" s="4">
        <v>0.35</v>
      </c>
      <c r="D681" s="29" t="s">
        <v>466</v>
      </c>
    </row>
    <row r="682" spans="1:4" ht="12.75">
      <c r="A682" s="5" t="s">
        <v>1538</v>
      </c>
      <c r="B682" s="4" t="s">
        <v>563</v>
      </c>
      <c r="C682" s="4">
        <v>120</v>
      </c>
      <c r="D682" s="29" t="s">
        <v>482</v>
      </c>
    </row>
    <row r="683" spans="1:4" ht="12.75">
      <c r="A683" s="5" t="s">
        <v>1539</v>
      </c>
      <c r="B683" s="4" t="s">
        <v>500</v>
      </c>
      <c r="C683" s="4">
        <v>0.12</v>
      </c>
      <c r="D683" s="29" t="s">
        <v>560</v>
      </c>
    </row>
    <row r="684" spans="1:4" ht="12.75">
      <c r="A684" s="5" t="s">
        <v>1540</v>
      </c>
      <c r="B684" s="4" t="s">
        <v>481</v>
      </c>
      <c r="C684" s="4">
        <v>0.5</v>
      </c>
      <c r="D684" s="29" t="s">
        <v>513</v>
      </c>
    </row>
    <row r="685" spans="1:4" ht="12.75">
      <c r="A685" s="5" t="s">
        <v>1541</v>
      </c>
      <c r="B685" s="4" t="s">
        <v>484</v>
      </c>
      <c r="C685" s="4">
        <v>75</v>
      </c>
      <c r="D685" s="29" t="s">
        <v>482</v>
      </c>
    </row>
    <row r="686" spans="1:4" ht="12.75">
      <c r="A686" s="5" t="s">
        <v>1542</v>
      </c>
      <c r="B686" s="4" t="s">
        <v>523</v>
      </c>
      <c r="C686" s="4">
        <v>0.05</v>
      </c>
      <c r="D686" s="29" t="s">
        <v>482</v>
      </c>
    </row>
    <row r="687" spans="1:4" ht="12.75">
      <c r="A687" s="5" t="s">
        <v>1543</v>
      </c>
      <c r="B687" s="4" t="s">
        <v>523</v>
      </c>
      <c r="C687" s="4">
        <v>0.05</v>
      </c>
      <c r="D687" s="29" t="s">
        <v>482</v>
      </c>
    </row>
    <row r="688" spans="1:4" ht="12.75">
      <c r="A688" s="5" t="s">
        <v>1544</v>
      </c>
      <c r="B688" s="4" t="s">
        <v>523</v>
      </c>
      <c r="C688" s="4">
        <v>0.1</v>
      </c>
      <c r="D688" s="29" t="s">
        <v>482</v>
      </c>
    </row>
    <row r="689" spans="1:4" ht="12.75">
      <c r="A689" s="5" t="s">
        <v>1545</v>
      </c>
      <c r="B689" s="4" t="s">
        <v>481</v>
      </c>
      <c r="C689" s="4">
        <v>8</v>
      </c>
      <c r="D689" s="29" t="s">
        <v>513</v>
      </c>
    </row>
    <row r="690" spans="1:4" ht="12.75">
      <c r="A690" s="5" t="s">
        <v>1546</v>
      </c>
      <c r="B690" s="4" t="s">
        <v>567</v>
      </c>
      <c r="C690" s="4">
        <v>10000</v>
      </c>
      <c r="D690" s="29" t="s">
        <v>482</v>
      </c>
    </row>
    <row r="691" spans="1:4" ht="12.75">
      <c r="A691" s="5" t="s">
        <v>1547</v>
      </c>
      <c r="B691" s="4" t="s">
        <v>563</v>
      </c>
      <c r="C691" s="4">
        <v>10</v>
      </c>
      <c r="D691" s="29" t="s">
        <v>482</v>
      </c>
    </row>
    <row r="692" spans="1:4" ht="12.75">
      <c r="A692" s="5" t="s">
        <v>1548</v>
      </c>
      <c r="B692" s="4" t="s">
        <v>484</v>
      </c>
      <c r="C692" s="4">
        <v>15</v>
      </c>
      <c r="D692" s="29" t="s">
        <v>482</v>
      </c>
    </row>
    <row r="693" spans="1:4" ht="12.75">
      <c r="A693" s="5" t="s">
        <v>1549</v>
      </c>
      <c r="B693" s="4" t="s">
        <v>484</v>
      </c>
      <c r="C693" s="4">
        <v>6</v>
      </c>
      <c r="D693" s="29" t="s">
        <v>482</v>
      </c>
    </row>
    <row r="694" spans="1:4" ht="12.75">
      <c r="A694" s="5" t="s">
        <v>1550</v>
      </c>
      <c r="B694" s="4" t="s">
        <v>484</v>
      </c>
      <c r="C694" s="4">
        <v>10</v>
      </c>
      <c r="D694" s="29" t="s">
        <v>482</v>
      </c>
    </row>
    <row r="695" spans="1:4" ht="12.75">
      <c r="A695" s="5" t="s">
        <v>1551</v>
      </c>
      <c r="B695" s="4" t="s">
        <v>484</v>
      </c>
      <c r="C695" s="4">
        <v>15</v>
      </c>
      <c r="D695" s="29" t="s">
        <v>482</v>
      </c>
    </row>
    <row r="696" spans="1:4" ht="12.75">
      <c r="A696" s="5" t="s">
        <v>1552</v>
      </c>
      <c r="B696" s="4" t="s">
        <v>484</v>
      </c>
      <c r="C696" s="4">
        <v>20</v>
      </c>
      <c r="D696" s="29" t="s">
        <v>482</v>
      </c>
    </row>
    <row r="697" spans="1:4" ht="12.75">
      <c r="A697" s="5" t="s">
        <v>1553</v>
      </c>
      <c r="B697" s="4" t="s">
        <v>475</v>
      </c>
      <c r="C697" s="4">
        <v>1</v>
      </c>
      <c r="D697" s="29" t="s">
        <v>476</v>
      </c>
    </row>
    <row r="698" spans="1:4" ht="12.75">
      <c r="A698" s="5" t="s">
        <v>1554</v>
      </c>
      <c r="B698" s="4" t="s">
        <v>486</v>
      </c>
      <c r="C698" s="4">
        <v>0.05</v>
      </c>
      <c r="D698" s="29" t="s">
        <v>487</v>
      </c>
    </row>
    <row r="699" spans="1:4" ht="12.75">
      <c r="A699" s="5" t="s">
        <v>1555</v>
      </c>
      <c r="B699" s="4" t="s">
        <v>484</v>
      </c>
      <c r="C699" s="4">
        <v>0.5</v>
      </c>
      <c r="D699" s="29" t="s">
        <v>482</v>
      </c>
    </row>
    <row r="700" spans="1:4" ht="12.75">
      <c r="A700" s="5" t="s">
        <v>1556</v>
      </c>
      <c r="B700" s="4" t="s">
        <v>500</v>
      </c>
      <c r="C700" s="4">
        <v>12</v>
      </c>
      <c r="D700" s="29" t="s">
        <v>482</v>
      </c>
    </row>
    <row r="701" spans="1:4" ht="12.75">
      <c r="A701" s="5" t="s">
        <v>1557</v>
      </c>
      <c r="B701" s="4" t="s">
        <v>500</v>
      </c>
      <c r="C701" s="4">
        <v>7</v>
      </c>
      <c r="D701" s="29" t="s">
        <v>482</v>
      </c>
    </row>
    <row r="702" spans="1:4" ht="12.75">
      <c r="A702" s="5" t="s">
        <v>1558</v>
      </c>
      <c r="B702" s="4" t="s">
        <v>500</v>
      </c>
      <c r="C702" s="4">
        <v>150</v>
      </c>
      <c r="D702" s="29" t="s">
        <v>482</v>
      </c>
    </row>
    <row r="703" spans="1:4" ht="12.75">
      <c r="A703" s="5" t="s">
        <v>1559</v>
      </c>
      <c r="B703" s="4" t="s">
        <v>500</v>
      </c>
      <c r="C703" s="4">
        <v>500</v>
      </c>
      <c r="D703" s="29" t="s">
        <v>482</v>
      </c>
    </row>
    <row r="704" spans="1:4" ht="12.75">
      <c r="A704" s="5" t="s">
        <v>1560</v>
      </c>
      <c r="B704" s="4" t="s">
        <v>500</v>
      </c>
      <c r="C704" s="4">
        <v>100</v>
      </c>
      <c r="D704" s="29" t="s">
        <v>482</v>
      </c>
    </row>
    <row r="705" spans="1:4" ht="12.75">
      <c r="A705" s="5" t="s">
        <v>1561</v>
      </c>
      <c r="B705" s="4" t="s">
        <v>563</v>
      </c>
      <c r="C705" s="4">
        <v>5</v>
      </c>
      <c r="D705" s="29" t="s">
        <v>482</v>
      </c>
    </row>
    <row r="706" spans="1:4" ht="12.75">
      <c r="A706" s="5" t="s">
        <v>1562</v>
      </c>
      <c r="B706" s="4" t="s">
        <v>563</v>
      </c>
      <c r="C706" s="4">
        <v>15</v>
      </c>
      <c r="D706" s="29" t="s">
        <v>482</v>
      </c>
    </row>
    <row r="707" spans="1:4" ht="12.75">
      <c r="A707" s="5" t="s">
        <v>1563</v>
      </c>
      <c r="B707" s="4" t="s">
        <v>563</v>
      </c>
      <c r="C707" s="4">
        <v>20</v>
      </c>
      <c r="D707" s="29" t="s">
        <v>482</v>
      </c>
    </row>
    <row r="708" spans="1:4" ht="12.75">
      <c r="A708" s="5" t="s">
        <v>1564</v>
      </c>
      <c r="B708" s="4" t="s">
        <v>484</v>
      </c>
      <c r="C708" s="4">
        <v>30</v>
      </c>
      <c r="D708" s="29" t="s">
        <v>482</v>
      </c>
    </row>
    <row r="709" spans="1:4" ht="12.75">
      <c r="A709" s="5" t="s">
        <v>1565</v>
      </c>
      <c r="B709" s="4" t="s">
        <v>541</v>
      </c>
      <c r="C709" s="4">
        <v>0.03</v>
      </c>
      <c r="D709" s="29" t="s">
        <v>542</v>
      </c>
    </row>
    <row r="710" spans="1:4" ht="12.75">
      <c r="A710" s="5" t="s">
        <v>1566</v>
      </c>
      <c r="B710" s="4" t="s">
        <v>541</v>
      </c>
      <c r="C710" s="4">
        <v>0.3</v>
      </c>
      <c r="D710" s="29" t="s">
        <v>542</v>
      </c>
    </row>
    <row r="711" spans="1:4" ht="12.75">
      <c r="A711" s="5" t="s">
        <v>1567</v>
      </c>
      <c r="B711" s="4" t="s">
        <v>541</v>
      </c>
      <c r="C711" s="4">
        <v>0.07</v>
      </c>
      <c r="D711" s="29" t="s">
        <v>542</v>
      </c>
    </row>
    <row r="712" spans="1:4" ht="12.75">
      <c r="A712" s="5" t="s">
        <v>1568</v>
      </c>
      <c r="B712" s="4" t="s">
        <v>541</v>
      </c>
      <c r="C712" s="4">
        <v>0.14</v>
      </c>
      <c r="D712" s="29" t="s">
        <v>542</v>
      </c>
    </row>
    <row r="713" spans="1:4" ht="12.75">
      <c r="A713" s="5" t="s">
        <v>1569</v>
      </c>
      <c r="B713" s="4" t="s">
        <v>500</v>
      </c>
      <c r="C713" s="4">
        <v>0.2</v>
      </c>
      <c r="D713" s="29" t="s">
        <v>560</v>
      </c>
    </row>
    <row r="714" spans="1:4" ht="12.75">
      <c r="A714" s="5" t="s">
        <v>1570</v>
      </c>
      <c r="B714" s="4" t="s">
        <v>541</v>
      </c>
      <c r="C714" s="4">
        <v>0.4</v>
      </c>
      <c r="D714" s="29" t="s">
        <v>542</v>
      </c>
    </row>
    <row r="715" spans="1:4" ht="12.75">
      <c r="A715" s="5" t="s">
        <v>1571</v>
      </c>
      <c r="B715" s="4" t="s">
        <v>500</v>
      </c>
      <c r="C715" s="4">
        <v>3</v>
      </c>
      <c r="D715" s="29" t="s">
        <v>482</v>
      </c>
    </row>
    <row r="716" spans="1:4" ht="12.75">
      <c r="A716" s="5" t="s">
        <v>1572</v>
      </c>
      <c r="B716" s="4" t="s">
        <v>500</v>
      </c>
      <c r="C716" s="4">
        <v>0.05</v>
      </c>
      <c r="D716" s="29" t="s">
        <v>482</v>
      </c>
    </row>
    <row r="717" spans="1:4" ht="12.75">
      <c r="A717" s="5" t="s">
        <v>1573</v>
      </c>
      <c r="B717" s="4" t="s">
        <v>473</v>
      </c>
      <c r="C717" s="4">
        <v>5200</v>
      </c>
      <c r="D717" s="29" t="s">
        <v>469</v>
      </c>
    </row>
    <row r="718" spans="1:4" ht="12.75">
      <c r="A718" s="5" t="s">
        <v>1574</v>
      </c>
      <c r="B718" s="4" t="s">
        <v>465</v>
      </c>
      <c r="C718" s="4">
        <v>0.08</v>
      </c>
      <c r="D718" s="29" t="s">
        <v>560</v>
      </c>
    </row>
    <row r="719" spans="1:4" ht="12.75">
      <c r="A719" s="5" t="s">
        <v>1575</v>
      </c>
      <c r="B719" s="4" t="s">
        <v>465</v>
      </c>
      <c r="C719" s="4">
        <v>0.5</v>
      </c>
      <c r="D719" s="29" t="s">
        <v>560</v>
      </c>
    </row>
    <row r="720" spans="1:4" ht="12.75">
      <c r="A720" s="5" t="s">
        <v>1576</v>
      </c>
      <c r="B720" s="4" t="s">
        <v>465</v>
      </c>
      <c r="C720" s="4">
        <v>1.8</v>
      </c>
      <c r="D720" s="29" t="s">
        <v>560</v>
      </c>
    </row>
    <row r="721" spans="1:4" ht="12.75">
      <c r="A721" s="5" t="s">
        <v>1577</v>
      </c>
      <c r="B721" s="4" t="s">
        <v>465</v>
      </c>
      <c r="C721" s="4">
        <v>0.24</v>
      </c>
      <c r="D721" s="29" t="s">
        <v>560</v>
      </c>
    </row>
    <row r="722" spans="1:4" ht="12.75">
      <c r="A722" s="5" t="s">
        <v>1578</v>
      </c>
      <c r="B722" s="4" t="s">
        <v>486</v>
      </c>
      <c r="C722" s="4">
        <v>0.05</v>
      </c>
      <c r="D722" s="29" t="s">
        <v>487</v>
      </c>
    </row>
    <row r="723" spans="1:4" ht="12.75">
      <c r="A723" s="5" t="s">
        <v>1579</v>
      </c>
      <c r="B723" s="4" t="s">
        <v>541</v>
      </c>
      <c r="C723" s="4">
        <v>0.05</v>
      </c>
      <c r="D723" s="29" t="s">
        <v>542</v>
      </c>
    </row>
    <row r="724" spans="1:4" ht="12.75">
      <c r="A724" s="5" t="s">
        <v>1580</v>
      </c>
      <c r="B724" s="4" t="s">
        <v>500</v>
      </c>
      <c r="C724" s="4">
        <v>3.25</v>
      </c>
      <c r="D724" s="29" t="s">
        <v>466</v>
      </c>
    </row>
    <row r="725" spans="1:4" ht="12.75">
      <c r="A725" s="5" t="s">
        <v>1581</v>
      </c>
      <c r="B725" s="4" t="s">
        <v>484</v>
      </c>
      <c r="C725" s="4">
        <v>7</v>
      </c>
      <c r="D725" s="29" t="s">
        <v>482</v>
      </c>
    </row>
    <row r="726" spans="1:4" ht="12.75">
      <c r="A726" s="5" t="s">
        <v>1582</v>
      </c>
      <c r="B726" s="4" t="s">
        <v>486</v>
      </c>
      <c r="C726" s="4">
        <v>0.45</v>
      </c>
      <c r="D726" s="29" t="s">
        <v>487</v>
      </c>
    </row>
    <row r="727" spans="1:4" ht="12.75">
      <c r="A727" s="5" t="s">
        <v>1583</v>
      </c>
      <c r="B727" s="4" t="s">
        <v>465</v>
      </c>
      <c r="C727" s="4">
        <v>0.5</v>
      </c>
      <c r="D727" s="29" t="s">
        <v>466</v>
      </c>
    </row>
    <row r="728" spans="1:4" ht="12.75">
      <c r="A728" s="5" t="s">
        <v>1584</v>
      </c>
      <c r="B728" s="4" t="s">
        <v>491</v>
      </c>
      <c r="C728" s="4">
        <v>1</v>
      </c>
      <c r="D728" s="29" t="s">
        <v>1352</v>
      </c>
    </row>
    <row r="729" spans="1:4" ht="12.75">
      <c r="A729" s="5" t="s">
        <v>1585</v>
      </c>
      <c r="B729" s="4" t="s">
        <v>481</v>
      </c>
      <c r="C729" s="4">
        <v>0.3</v>
      </c>
      <c r="D729" s="29" t="s">
        <v>513</v>
      </c>
    </row>
    <row r="730" spans="1:4" ht="12.75">
      <c r="A730" s="5" t="s">
        <v>1586</v>
      </c>
      <c r="B730" s="4" t="s">
        <v>465</v>
      </c>
      <c r="C730" s="4">
        <v>0.15</v>
      </c>
      <c r="D730" s="29" t="s">
        <v>466</v>
      </c>
    </row>
    <row r="731" spans="1:4" ht="12.75">
      <c r="A731" s="5" t="s">
        <v>1587</v>
      </c>
      <c r="B731" s="4" t="s">
        <v>465</v>
      </c>
      <c r="C731" s="4">
        <v>0.11</v>
      </c>
      <c r="D731" s="29" t="s">
        <v>466</v>
      </c>
    </row>
    <row r="732" spans="1:4" ht="12.75">
      <c r="A732" s="5" t="s">
        <v>1588</v>
      </c>
      <c r="B732" s="4" t="s">
        <v>590</v>
      </c>
      <c r="C732" s="4">
        <v>90</v>
      </c>
      <c r="D732" s="29" t="s">
        <v>482</v>
      </c>
    </row>
    <row r="733" spans="1:4" ht="12.75">
      <c r="A733" s="5" t="s">
        <v>1589</v>
      </c>
      <c r="B733" s="4" t="s">
        <v>590</v>
      </c>
      <c r="C733" s="4">
        <v>75</v>
      </c>
      <c r="D733" s="29" t="s">
        <v>482</v>
      </c>
    </row>
    <row r="734" spans="1:4" ht="12.75">
      <c r="A734" s="5" t="s">
        <v>1590</v>
      </c>
      <c r="B734" s="4" t="s">
        <v>590</v>
      </c>
      <c r="C734" s="4">
        <v>15</v>
      </c>
      <c r="D734" s="29" t="s">
        <v>482</v>
      </c>
    </row>
    <row r="735" spans="1:4" ht="12.75">
      <c r="A735" s="5" t="s">
        <v>1591</v>
      </c>
      <c r="B735" s="4" t="s">
        <v>590</v>
      </c>
      <c r="C735" s="4">
        <v>35</v>
      </c>
      <c r="D735" s="29" t="s">
        <v>482</v>
      </c>
    </row>
    <row r="736" spans="1:4" ht="12.75">
      <c r="A736" s="5" t="s">
        <v>1592</v>
      </c>
      <c r="B736" s="4" t="s">
        <v>590</v>
      </c>
      <c r="C736" s="4">
        <v>14</v>
      </c>
      <c r="D736" s="29" t="s">
        <v>482</v>
      </c>
    </row>
    <row r="737" spans="1:4" ht="12.75">
      <c r="A737" s="5" t="s">
        <v>1593</v>
      </c>
      <c r="B737" s="4" t="s">
        <v>590</v>
      </c>
      <c r="C737" s="4">
        <v>25</v>
      </c>
      <c r="D737" s="29" t="s">
        <v>482</v>
      </c>
    </row>
    <row r="738" spans="1:4" ht="12.75">
      <c r="A738" s="5" t="s">
        <v>1594</v>
      </c>
      <c r="B738" s="4" t="s">
        <v>590</v>
      </c>
      <c r="C738" s="4">
        <v>65</v>
      </c>
      <c r="D738" s="29" t="s">
        <v>482</v>
      </c>
    </row>
    <row r="739" spans="1:4" ht="12.75">
      <c r="A739" s="5" t="s">
        <v>1595</v>
      </c>
      <c r="B739" s="4" t="s">
        <v>590</v>
      </c>
      <c r="C739" s="4">
        <v>10</v>
      </c>
      <c r="D739" s="29" t="s">
        <v>482</v>
      </c>
    </row>
    <row r="740" spans="1:4" ht="12.75">
      <c r="A740" s="5" t="s">
        <v>1596</v>
      </c>
      <c r="B740" s="4" t="s">
        <v>590</v>
      </c>
      <c r="C740" s="4">
        <v>45</v>
      </c>
      <c r="D740" s="29" t="s">
        <v>482</v>
      </c>
    </row>
    <row r="741" spans="1:4" ht="12.75">
      <c r="A741" s="5" t="s">
        <v>1597</v>
      </c>
      <c r="B741" s="4" t="s">
        <v>481</v>
      </c>
      <c r="C741" s="4">
        <v>55</v>
      </c>
      <c r="D741" s="29" t="s">
        <v>513</v>
      </c>
    </row>
    <row r="742" spans="1:4" ht="12.75">
      <c r="A742" s="5" t="s">
        <v>1598</v>
      </c>
      <c r="B742" s="4" t="s">
        <v>481</v>
      </c>
      <c r="C742" s="4">
        <v>3</v>
      </c>
      <c r="D742" s="29" t="s">
        <v>513</v>
      </c>
    </row>
    <row r="743" spans="1:4" ht="12.75">
      <c r="A743" s="5" t="s">
        <v>1599</v>
      </c>
      <c r="B743" s="4" t="s">
        <v>481</v>
      </c>
      <c r="C743" s="4">
        <v>5</v>
      </c>
      <c r="D743" s="29" t="s">
        <v>513</v>
      </c>
    </row>
    <row r="744" spans="1:4" ht="12.75">
      <c r="A744" s="5" t="s">
        <v>1600</v>
      </c>
      <c r="B744" s="4" t="s">
        <v>481</v>
      </c>
      <c r="C744" s="4">
        <v>7</v>
      </c>
      <c r="D744" s="29" t="s">
        <v>513</v>
      </c>
    </row>
    <row r="745" spans="1:4" ht="12.75">
      <c r="A745" s="5" t="s">
        <v>1601</v>
      </c>
      <c r="B745" s="4" t="s">
        <v>481</v>
      </c>
      <c r="C745" s="4">
        <v>2</v>
      </c>
      <c r="D745" s="29" t="s">
        <v>513</v>
      </c>
    </row>
    <row r="746" spans="1:4" ht="12.75">
      <c r="A746" s="5" t="s">
        <v>1602</v>
      </c>
      <c r="B746" s="4" t="s">
        <v>481</v>
      </c>
      <c r="C746" s="4">
        <v>16</v>
      </c>
      <c r="D746" s="29" t="s">
        <v>513</v>
      </c>
    </row>
    <row r="747" spans="1:4" ht="12.75">
      <c r="A747" s="5" t="s">
        <v>1603</v>
      </c>
      <c r="B747" s="4" t="s">
        <v>517</v>
      </c>
      <c r="C747" s="4">
        <v>0.2</v>
      </c>
      <c r="D747" s="29" t="s">
        <v>482</v>
      </c>
    </row>
    <row r="748" spans="1:4" ht="12.75">
      <c r="A748" s="5" t="s">
        <v>1604</v>
      </c>
      <c r="B748" s="4" t="s">
        <v>484</v>
      </c>
      <c r="C748" s="4">
        <v>5</v>
      </c>
      <c r="D748" s="29" t="s">
        <v>482</v>
      </c>
    </row>
    <row r="749" spans="1:4" ht="12.75">
      <c r="A749" s="5" t="s">
        <v>1605</v>
      </c>
      <c r="B749" s="4" t="s">
        <v>465</v>
      </c>
      <c r="C749" s="4">
        <v>0.02</v>
      </c>
      <c r="D749" s="29" t="s">
        <v>466</v>
      </c>
    </row>
    <row r="750" spans="1:4" ht="12.75">
      <c r="A750" s="5" t="s">
        <v>1606</v>
      </c>
      <c r="B750" s="4" t="s">
        <v>473</v>
      </c>
      <c r="C750" s="4">
        <v>12</v>
      </c>
      <c r="D750" s="29" t="s">
        <v>469</v>
      </c>
    </row>
    <row r="751" spans="1:4" ht="12.75">
      <c r="A751" s="5" t="s">
        <v>1607</v>
      </c>
      <c r="B751" s="4" t="s">
        <v>494</v>
      </c>
      <c r="C751" s="4">
        <v>0.03</v>
      </c>
      <c r="D751" s="29" t="s">
        <v>482</v>
      </c>
    </row>
    <row r="752" spans="1:4" ht="12.75">
      <c r="A752" s="5" t="s">
        <v>1608</v>
      </c>
      <c r="B752" s="4" t="s">
        <v>475</v>
      </c>
      <c r="C752" s="4">
        <v>1</v>
      </c>
      <c r="D752" s="29" t="s">
        <v>476</v>
      </c>
    </row>
    <row r="753" spans="1:4" ht="12.75">
      <c r="A753" s="5" t="s">
        <v>1609</v>
      </c>
      <c r="B753" s="4" t="s">
        <v>473</v>
      </c>
      <c r="C753" s="4">
        <v>12</v>
      </c>
      <c r="D753" s="29" t="s">
        <v>469</v>
      </c>
    </row>
    <row r="754" spans="1:4" ht="12.75">
      <c r="A754" s="5" t="s">
        <v>1610</v>
      </c>
      <c r="B754" s="4" t="s">
        <v>473</v>
      </c>
      <c r="C754" s="4">
        <v>20</v>
      </c>
      <c r="D754" s="29" t="s">
        <v>469</v>
      </c>
    </row>
    <row r="755" spans="1:4" ht="12.75">
      <c r="A755" s="5" t="s">
        <v>424</v>
      </c>
      <c r="B755" s="4" t="s">
        <v>484</v>
      </c>
      <c r="C755" s="4">
        <v>0.5</v>
      </c>
      <c r="D755" s="29" t="s">
        <v>482</v>
      </c>
    </row>
    <row r="756" spans="1:4" ht="12.75">
      <c r="A756" s="5" t="s">
        <v>1611</v>
      </c>
      <c r="B756" s="4" t="s">
        <v>491</v>
      </c>
      <c r="C756" s="4">
        <v>0.03</v>
      </c>
      <c r="D756" s="29" t="s">
        <v>482</v>
      </c>
    </row>
    <row r="757" spans="1:4" ht="12.75">
      <c r="A757" s="5" t="s">
        <v>1612</v>
      </c>
      <c r="B757" s="4" t="s">
        <v>500</v>
      </c>
      <c r="C757" s="4">
        <v>0.03</v>
      </c>
      <c r="D757" s="29" t="s">
        <v>482</v>
      </c>
    </row>
    <row r="758" spans="1:4" ht="12.75">
      <c r="A758" s="5" t="s">
        <v>1613</v>
      </c>
      <c r="B758" s="4" t="s">
        <v>500</v>
      </c>
      <c r="C758" s="4">
        <v>0.5</v>
      </c>
      <c r="D758" s="29" t="s">
        <v>482</v>
      </c>
    </row>
    <row r="759" spans="1:4" ht="12.75">
      <c r="A759" s="5" t="s">
        <v>1614</v>
      </c>
      <c r="B759" s="4" t="s">
        <v>479</v>
      </c>
      <c r="C759" s="4">
        <v>0.5</v>
      </c>
      <c r="D759" s="29" t="s">
        <v>466</v>
      </c>
    </row>
    <row r="760" spans="1:4" ht="12.75">
      <c r="A760" s="5" t="s">
        <v>1615</v>
      </c>
      <c r="B760" s="4" t="s">
        <v>494</v>
      </c>
      <c r="C760" s="4">
        <v>300</v>
      </c>
      <c r="D760" s="29" t="s">
        <v>482</v>
      </c>
    </row>
    <row r="761" spans="1:4" ht="12.75">
      <c r="A761" s="5" t="s">
        <v>1616</v>
      </c>
      <c r="B761" s="4" t="s">
        <v>517</v>
      </c>
      <c r="C761" s="4">
        <v>0.5</v>
      </c>
      <c r="D761" s="29" t="s">
        <v>482</v>
      </c>
    </row>
    <row r="762" spans="1:4" ht="12.75">
      <c r="A762" s="5" t="s">
        <v>1616</v>
      </c>
      <c r="B762" s="4" t="s">
        <v>494</v>
      </c>
      <c r="C762" s="4">
        <v>0.3</v>
      </c>
      <c r="D762" s="29" t="s">
        <v>482</v>
      </c>
    </row>
    <row r="763" spans="1:4" ht="12.75">
      <c r="A763" s="5" t="s">
        <v>1617</v>
      </c>
      <c r="B763" s="4" t="s">
        <v>517</v>
      </c>
      <c r="C763" s="4">
        <v>50</v>
      </c>
      <c r="D763" s="29" t="s">
        <v>1618</v>
      </c>
    </row>
    <row r="764" spans="1:4" ht="12.75">
      <c r="A764" s="5" t="s">
        <v>1619</v>
      </c>
      <c r="B764" s="4" t="s">
        <v>517</v>
      </c>
      <c r="C764" s="4">
        <v>2</v>
      </c>
      <c r="D764" s="29" t="s">
        <v>469</v>
      </c>
    </row>
    <row r="765" spans="1:4" ht="12.75">
      <c r="A765" s="5" t="s">
        <v>1620</v>
      </c>
      <c r="B765" s="4" t="s">
        <v>479</v>
      </c>
      <c r="C765" s="4">
        <v>35</v>
      </c>
      <c r="D765" s="29" t="s">
        <v>466</v>
      </c>
    </row>
    <row r="766" spans="1:4" ht="12.75">
      <c r="A766" s="5" t="s">
        <v>1621</v>
      </c>
      <c r="B766" s="4" t="s">
        <v>481</v>
      </c>
      <c r="C766" s="4">
        <v>0.5</v>
      </c>
      <c r="D766" s="29" t="s">
        <v>513</v>
      </c>
    </row>
    <row r="767" spans="1:4" ht="12.75">
      <c r="A767" s="5" t="s">
        <v>1622</v>
      </c>
      <c r="B767" s="4" t="s">
        <v>481</v>
      </c>
      <c r="C767" s="4">
        <v>4</v>
      </c>
      <c r="D767" s="29" t="s">
        <v>513</v>
      </c>
    </row>
    <row r="768" spans="1:4" ht="12.75">
      <c r="A768" s="5" t="s">
        <v>1623</v>
      </c>
      <c r="B768" s="4" t="s">
        <v>481</v>
      </c>
      <c r="C768" s="4">
        <v>0.5</v>
      </c>
      <c r="D768" s="29" t="s">
        <v>513</v>
      </c>
    </row>
    <row r="769" spans="1:4" ht="12.75">
      <c r="A769" s="5" t="s">
        <v>1624</v>
      </c>
      <c r="B769" s="4" t="s">
        <v>517</v>
      </c>
      <c r="C769" s="4">
        <v>0.05</v>
      </c>
      <c r="D769" s="29" t="s">
        <v>482</v>
      </c>
    </row>
    <row r="770" spans="1:4" ht="12.75">
      <c r="A770" s="5" t="s">
        <v>1625</v>
      </c>
      <c r="B770" s="4" t="s">
        <v>473</v>
      </c>
      <c r="C770" s="4">
        <v>100</v>
      </c>
      <c r="D770" s="29" t="s">
        <v>469</v>
      </c>
    </row>
    <row r="771" spans="1:4" ht="12.75">
      <c r="A771" s="5" t="s">
        <v>1626</v>
      </c>
      <c r="B771" s="4" t="s">
        <v>486</v>
      </c>
      <c r="C771" s="4">
        <v>0.07</v>
      </c>
      <c r="D771" s="29" t="s">
        <v>487</v>
      </c>
    </row>
    <row r="772" spans="1:4" ht="12.75">
      <c r="A772" s="5" t="s">
        <v>1627</v>
      </c>
      <c r="B772" s="4" t="s">
        <v>479</v>
      </c>
      <c r="C772" s="4">
        <v>425</v>
      </c>
      <c r="D772" s="29" t="s">
        <v>466</v>
      </c>
    </row>
    <row r="773" spans="1:4" ht="12.75">
      <c r="A773" s="5" t="s">
        <v>1628</v>
      </c>
      <c r="B773" s="4" t="s">
        <v>479</v>
      </c>
      <c r="C773" s="4">
        <v>122.5</v>
      </c>
      <c r="D773" s="29" t="s">
        <v>466</v>
      </c>
    </row>
    <row r="774" spans="1:4" ht="12.75">
      <c r="A774" s="5" t="s">
        <v>1629</v>
      </c>
      <c r="B774" s="4" t="s">
        <v>479</v>
      </c>
      <c r="C774" s="4">
        <v>375</v>
      </c>
      <c r="D774" s="29" t="s">
        <v>466</v>
      </c>
    </row>
    <row r="775" spans="1:4" ht="12.75">
      <c r="A775" s="5" t="s">
        <v>1630</v>
      </c>
      <c r="B775" s="4" t="s">
        <v>475</v>
      </c>
      <c r="C775" s="4">
        <v>5</v>
      </c>
      <c r="D775" s="29" t="s">
        <v>476</v>
      </c>
    </row>
    <row r="776" spans="1:4" ht="12.75">
      <c r="A776" s="5" t="s">
        <v>454</v>
      </c>
      <c r="B776" s="4" t="s">
        <v>484</v>
      </c>
      <c r="C776" s="4">
        <v>10</v>
      </c>
      <c r="D776" s="29" t="s">
        <v>482</v>
      </c>
    </row>
    <row r="777" spans="1:4" ht="12.75">
      <c r="A777" s="5" t="s">
        <v>1631</v>
      </c>
      <c r="B777" s="4" t="s">
        <v>465</v>
      </c>
      <c r="C777" s="4">
        <v>0.01</v>
      </c>
      <c r="D777" s="29" t="s">
        <v>560</v>
      </c>
    </row>
    <row r="778" spans="1:4" ht="12.75">
      <c r="A778" s="5" t="s">
        <v>1632</v>
      </c>
      <c r="B778" s="4" t="s">
        <v>465</v>
      </c>
      <c r="C778" s="4">
        <v>0.08</v>
      </c>
      <c r="D778" s="29" t="s">
        <v>560</v>
      </c>
    </row>
    <row r="779" spans="1:4" ht="12.75">
      <c r="A779" s="5" t="s">
        <v>1633</v>
      </c>
      <c r="B779" s="4" t="s">
        <v>465</v>
      </c>
      <c r="C779" s="4">
        <v>0.02</v>
      </c>
      <c r="D779" s="29" t="s">
        <v>560</v>
      </c>
    </row>
    <row r="780" spans="1:4" ht="12.75">
      <c r="A780" s="5" t="s">
        <v>1634</v>
      </c>
      <c r="B780" s="4" t="s">
        <v>494</v>
      </c>
      <c r="C780" s="4">
        <v>22</v>
      </c>
      <c r="D780" s="29" t="s">
        <v>482</v>
      </c>
    </row>
    <row r="781" spans="1:4" ht="12.75">
      <c r="A781" s="5" t="s">
        <v>1635</v>
      </c>
      <c r="B781" s="4" t="s">
        <v>644</v>
      </c>
      <c r="C781" s="4">
        <v>8</v>
      </c>
      <c r="D781" s="29" t="s">
        <v>482</v>
      </c>
    </row>
    <row r="782" spans="1:4" ht="12.75">
      <c r="A782" s="5" t="s">
        <v>1636</v>
      </c>
      <c r="B782" s="4" t="s">
        <v>481</v>
      </c>
      <c r="C782" s="4">
        <v>0.1</v>
      </c>
      <c r="D782" s="29" t="s">
        <v>513</v>
      </c>
    </row>
    <row r="783" spans="1:4" ht="12.75">
      <c r="A783" s="5" t="s">
        <v>1637</v>
      </c>
      <c r="B783" s="4" t="s">
        <v>481</v>
      </c>
      <c r="C783" s="4">
        <v>0.8</v>
      </c>
      <c r="D783" s="29" t="s">
        <v>513</v>
      </c>
    </row>
    <row r="784" spans="1:4" ht="12.75">
      <c r="A784" s="5" t="s">
        <v>1638</v>
      </c>
      <c r="B784" s="4" t="s">
        <v>517</v>
      </c>
      <c r="C784" s="4">
        <v>0.02</v>
      </c>
      <c r="D784" s="29" t="s">
        <v>1639</v>
      </c>
    </row>
    <row r="785" spans="1:4" ht="12.75">
      <c r="A785" s="5" t="s">
        <v>1640</v>
      </c>
      <c r="B785" s="4" t="s">
        <v>590</v>
      </c>
      <c r="C785" s="4">
        <v>0.1</v>
      </c>
      <c r="D785" s="29" t="s">
        <v>482</v>
      </c>
    </row>
    <row r="786" spans="1:4" ht="12.75">
      <c r="A786" s="5" t="s">
        <v>1641</v>
      </c>
      <c r="B786" s="4" t="s">
        <v>590</v>
      </c>
      <c r="C786" s="4">
        <v>0.08</v>
      </c>
      <c r="D786" s="29" t="s">
        <v>482</v>
      </c>
    </row>
    <row r="787" spans="1:4" ht="12.75">
      <c r="A787" s="5" t="s">
        <v>1642</v>
      </c>
      <c r="B787" s="4" t="s">
        <v>590</v>
      </c>
      <c r="C787" s="4">
        <v>0.09</v>
      </c>
      <c r="D787" s="29" t="s">
        <v>482</v>
      </c>
    </row>
    <row r="788" spans="1:4" ht="12.75">
      <c r="A788" s="5" t="s">
        <v>1643</v>
      </c>
      <c r="B788" s="4" t="s">
        <v>590</v>
      </c>
      <c r="C788" s="4">
        <v>0.16</v>
      </c>
      <c r="D788" s="29" t="s">
        <v>482</v>
      </c>
    </row>
    <row r="789" spans="1:4" ht="12.75">
      <c r="A789" s="5" t="s">
        <v>1644</v>
      </c>
      <c r="B789" s="4" t="s">
        <v>590</v>
      </c>
      <c r="C789" s="4">
        <v>0.07</v>
      </c>
      <c r="D789" s="29" t="s">
        <v>482</v>
      </c>
    </row>
    <row r="790" spans="1:4" ht="12.75">
      <c r="A790" s="5" t="s">
        <v>1645</v>
      </c>
      <c r="B790" s="4" t="s">
        <v>481</v>
      </c>
      <c r="C790" s="4">
        <v>0.8</v>
      </c>
      <c r="D790" s="29" t="s">
        <v>513</v>
      </c>
    </row>
    <row r="791" spans="1:4" ht="12.75">
      <c r="A791" s="5" t="s">
        <v>1646</v>
      </c>
      <c r="B791" s="4" t="s">
        <v>517</v>
      </c>
      <c r="C791" s="4">
        <v>2</v>
      </c>
      <c r="D791" s="29" t="s">
        <v>482</v>
      </c>
    </row>
    <row r="792" spans="1:4" ht="12.75">
      <c r="A792" s="5" t="s">
        <v>1647</v>
      </c>
      <c r="B792" s="4" t="s">
        <v>517</v>
      </c>
      <c r="C792" s="4">
        <v>10</v>
      </c>
      <c r="D792" s="29" t="s">
        <v>482</v>
      </c>
    </row>
    <row r="793" spans="1:4" ht="12.75">
      <c r="A793" s="5" t="s">
        <v>1648</v>
      </c>
      <c r="B793" s="4" t="s">
        <v>494</v>
      </c>
      <c r="C793" s="4">
        <v>1</v>
      </c>
      <c r="D793" s="29" t="s">
        <v>720</v>
      </c>
    </row>
    <row r="794" spans="1:4" ht="12.75">
      <c r="A794" s="5" t="s">
        <v>1649</v>
      </c>
      <c r="B794" s="4" t="s">
        <v>484</v>
      </c>
      <c r="C794" s="4">
        <v>8</v>
      </c>
      <c r="D794" s="29" t="s">
        <v>482</v>
      </c>
    </row>
    <row r="795" spans="1:4" ht="12.75">
      <c r="A795" s="5" t="s">
        <v>1650</v>
      </c>
      <c r="B795" s="4" t="s">
        <v>500</v>
      </c>
      <c r="C795" s="4">
        <v>2</v>
      </c>
      <c r="D795" s="29" t="s">
        <v>482</v>
      </c>
    </row>
    <row r="796" spans="1:4" ht="12.75">
      <c r="A796" s="5" t="s">
        <v>1651</v>
      </c>
      <c r="B796" s="4" t="s">
        <v>500</v>
      </c>
      <c r="C796" s="4">
        <v>0.5</v>
      </c>
      <c r="D796" s="29" t="s">
        <v>482</v>
      </c>
    </row>
    <row r="797" spans="1:4" ht="12.75">
      <c r="A797" s="5" t="s">
        <v>1652</v>
      </c>
      <c r="B797" s="4" t="s">
        <v>517</v>
      </c>
      <c r="C797" s="4">
        <v>35</v>
      </c>
      <c r="D797" s="29" t="s">
        <v>482</v>
      </c>
    </row>
    <row r="798" spans="1:4" ht="12.75">
      <c r="A798" s="5" t="s">
        <v>1653</v>
      </c>
      <c r="B798" s="4" t="s">
        <v>465</v>
      </c>
      <c r="C798" s="4">
        <v>3</v>
      </c>
      <c r="D798" s="29" t="s">
        <v>560</v>
      </c>
    </row>
    <row r="799" spans="1:4" ht="12.75">
      <c r="A799" s="5" t="s">
        <v>1654</v>
      </c>
      <c r="B799" s="4" t="s">
        <v>484</v>
      </c>
      <c r="C799" s="4">
        <v>5</v>
      </c>
      <c r="D799" s="29" t="s">
        <v>482</v>
      </c>
    </row>
    <row r="800" spans="1:4" ht="12.75">
      <c r="A800" s="5" t="s">
        <v>1655</v>
      </c>
      <c r="B800" s="4" t="s">
        <v>500</v>
      </c>
      <c r="C800" s="4">
        <v>4000</v>
      </c>
      <c r="D800" s="29" t="s">
        <v>482</v>
      </c>
    </row>
    <row r="801" spans="1:4" ht="12.75">
      <c r="A801" s="5" t="s">
        <v>1656</v>
      </c>
      <c r="B801" s="4" t="s">
        <v>500</v>
      </c>
      <c r="C801" s="4">
        <v>40</v>
      </c>
      <c r="D801" s="29" t="s">
        <v>482</v>
      </c>
    </row>
    <row r="802" spans="1:4" ht="12.75">
      <c r="A802" s="5" t="s">
        <v>1657</v>
      </c>
      <c r="B802" s="4" t="s">
        <v>500</v>
      </c>
      <c r="C802" s="4">
        <v>350</v>
      </c>
      <c r="D802" s="29" t="s">
        <v>482</v>
      </c>
    </row>
    <row r="803" spans="1:4" ht="12.75">
      <c r="A803" s="5" t="s">
        <v>1658</v>
      </c>
      <c r="B803" s="4" t="s">
        <v>500</v>
      </c>
      <c r="C803" s="4">
        <v>4</v>
      </c>
      <c r="D803" s="29" t="s">
        <v>482</v>
      </c>
    </row>
    <row r="804" spans="1:4" ht="12.75">
      <c r="A804" s="5" t="s">
        <v>1659</v>
      </c>
      <c r="B804" s="4" t="s">
        <v>500</v>
      </c>
      <c r="C804" s="4">
        <v>10</v>
      </c>
      <c r="D804" s="29" t="s">
        <v>482</v>
      </c>
    </row>
    <row r="805" spans="1:4" ht="12.75">
      <c r="A805" s="5" t="s">
        <v>1660</v>
      </c>
      <c r="B805" s="4" t="s">
        <v>465</v>
      </c>
      <c r="C805" s="4">
        <v>0.01</v>
      </c>
      <c r="D805" s="29" t="s">
        <v>466</v>
      </c>
    </row>
    <row r="806" spans="1:4" ht="12.75">
      <c r="A806" s="5" t="s">
        <v>1661</v>
      </c>
      <c r="B806" s="4" t="s">
        <v>479</v>
      </c>
      <c r="C806" s="4">
        <v>0.04</v>
      </c>
      <c r="D806" s="29" t="s">
        <v>466</v>
      </c>
    </row>
    <row r="807" spans="1:4" ht="12.75">
      <c r="A807" s="5" t="s">
        <v>1662</v>
      </c>
      <c r="B807" s="4" t="s">
        <v>484</v>
      </c>
      <c r="C807" s="4">
        <v>1</v>
      </c>
      <c r="D807" s="29" t="s">
        <v>482</v>
      </c>
    </row>
    <row r="808" spans="1:4" ht="12.75">
      <c r="A808" s="5" t="s">
        <v>1663</v>
      </c>
      <c r="B808" s="4" t="s">
        <v>486</v>
      </c>
      <c r="C808" s="4">
        <v>0.06</v>
      </c>
      <c r="D808" s="29" t="s">
        <v>487</v>
      </c>
    </row>
    <row r="809" spans="1:4" ht="12.75">
      <c r="A809" s="5" t="s">
        <v>1664</v>
      </c>
      <c r="B809" s="4" t="s">
        <v>475</v>
      </c>
      <c r="C809" s="4">
        <v>1</v>
      </c>
      <c r="D809" s="29" t="s">
        <v>476</v>
      </c>
    </row>
    <row r="810" spans="1:4" ht="12.75">
      <c r="A810" s="5" t="s">
        <v>1665</v>
      </c>
      <c r="B810" s="4" t="s">
        <v>465</v>
      </c>
      <c r="C810" s="4">
        <v>0.1</v>
      </c>
      <c r="D810" s="29" t="s">
        <v>560</v>
      </c>
    </row>
    <row r="811" spans="1:4" ht="12.75">
      <c r="A811" s="5" t="s">
        <v>1666</v>
      </c>
      <c r="B811" s="4" t="s">
        <v>465</v>
      </c>
      <c r="C811" s="4">
        <v>0.65</v>
      </c>
      <c r="D811" s="29" t="s">
        <v>560</v>
      </c>
    </row>
    <row r="812" spans="1:4" ht="12.75">
      <c r="A812" s="5" t="s">
        <v>1667</v>
      </c>
      <c r="B812" s="4" t="s">
        <v>465</v>
      </c>
      <c r="C812" s="4">
        <v>4.9</v>
      </c>
      <c r="D812" s="29" t="s">
        <v>560</v>
      </c>
    </row>
    <row r="813" spans="1:4" ht="12.75">
      <c r="A813" s="5" t="s">
        <v>1668</v>
      </c>
      <c r="B813" s="4" t="s">
        <v>465</v>
      </c>
      <c r="C813" s="4">
        <v>0.3</v>
      </c>
      <c r="D813" s="29" t="s">
        <v>560</v>
      </c>
    </row>
    <row r="814" spans="1:4" ht="12.75">
      <c r="A814" s="5" t="s">
        <v>1669</v>
      </c>
      <c r="B814" s="4" t="s">
        <v>475</v>
      </c>
      <c r="C814" s="4">
        <v>50</v>
      </c>
      <c r="D814" s="29" t="s">
        <v>476</v>
      </c>
    </row>
    <row r="815" spans="1:4" ht="12.75">
      <c r="A815" s="5" t="s">
        <v>1670</v>
      </c>
      <c r="B815" s="4" t="s">
        <v>475</v>
      </c>
      <c r="C815" s="4">
        <v>5</v>
      </c>
      <c r="D815" s="29" t="s">
        <v>476</v>
      </c>
    </row>
    <row r="816" spans="1:4" ht="12.75">
      <c r="A816" s="5" t="s">
        <v>1671</v>
      </c>
      <c r="B816" s="4" t="s">
        <v>465</v>
      </c>
      <c r="C816" s="4">
        <v>0.75</v>
      </c>
      <c r="D816" s="29" t="s">
        <v>466</v>
      </c>
    </row>
    <row r="817" spans="1:4" ht="12.75">
      <c r="A817" s="5" t="s">
        <v>1672</v>
      </c>
      <c r="B817" s="4" t="s">
        <v>494</v>
      </c>
      <c r="C817" s="4">
        <v>1000</v>
      </c>
      <c r="D817" s="29" t="s">
        <v>482</v>
      </c>
    </row>
    <row r="818" spans="1:4" ht="12.75">
      <c r="A818" s="5" t="s">
        <v>1673</v>
      </c>
      <c r="B818" s="4" t="s">
        <v>475</v>
      </c>
      <c r="C818" s="4">
        <v>100</v>
      </c>
      <c r="D818" s="29" t="s">
        <v>476</v>
      </c>
    </row>
    <row r="819" spans="1:4" ht="12.75">
      <c r="A819" s="5" t="s">
        <v>1674</v>
      </c>
      <c r="B819" s="4" t="s">
        <v>475</v>
      </c>
      <c r="C819" s="4">
        <v>500</v>
      </c>
      <c r="D819" s="29" t="s">
        <v>476</v>
      </c>
    </row>
    <row r="820" spans="1:4" ht="12.75">
      <c r="A820" s="5" t="s">
        <v>1675</v>
      </c>
      <c r="B820" s="4" t="s">
        <v>475</v>
      </c>
      <c r="C820" s="4">
        <v>100</v>
      </c>
      <c r="D820" s="29" t="s">
        <v>476</v>
      </c>
    </row>
    <row r="821" spans="1:4" ht="12.75">
      <c r="A821" s="5" t="s">
        <v>1676</v>
      </c>
      <c r="B821" s="4" t="s">
        <v>644</v>
      </c>
      <c r="C821" s="4">
        <v>5</v>
      </c>
      <c r="D821" s="29" t="s">
        <v>482</v>
      </c>
    </row>
    <row r="822" spans="1:4" ht="12.75">
      <c r="A822" s="5" t="s">
        <v>1677</v>
      </c>
      <c r="B822" s="4" t="s">
        <v>541</v>
      </c>
      <c r="C822" s="4">
        <v>0.01</v>
      </c>
      <c r="D822" s="29" t="s">
        <v>542</v>
      </c>
    </row>
    <row r="823" spans="1:4" ht="12.75">
      <c r="A823" s="5" t="s">
        <v>1678</v>
      </c>
      <c r="B823" s="4" t="s">
        <v>541</v>
      </c>
      <c r="C823" s="4">
        <v>22.5</v>
      </c>
      <c r="D823" s="29" t="s">
        <v>542</v>
      </c>
    </row>
    <row r="824" spans="1:4" ht="12.75">
      <c r="A824" s="5" t="s">
        <v>1679</v>
      </c>
      <c r="B824" s="4" t="s">
        <v>500</v>
      </c>
      <c r="C824" s="4">
        <v>2</v>
      </c>
      <c r="D824" s="29" t="s">
        <v>1680</v>
      </c>
    </row>
    <row r="825" spans="1:4" ht="12.75">
      <c r="A825" s="5" t="s">
        <v>1681</v>
      </c>
      <c r="B825" s="4" t="s">
        <v>486</v>
      </c>
      <c r="C825" s="4">
        <v>0.02</v>
      </c>
      <c r="D825" s="29" t="s">
        <v>487</v>
      </c>
    </row>
    <row r="826" spans="1:4" ht="12.75">
      <c r="A826" s="5" t="s">
        <v>1682</v>
      </c>
      <c r="B826" s="4" t="s">
        <v>465</v>
      </c>
      <c r="C826" s="4">
        <v>0.05</v>
      </c>
      <c r="D826" s="29" t="s">
        <v>466</v>
      </c>
    </row>
    <row r="827" spans="1:4" ht="12.75">
      <c r="A827" s="5" t="s">
        <v>1683</v>
      </c>
      <c r="B827" s="4" t="s">
        <v>465</v>
      </c>
      <c r="C827" s="4">
        <v>2.2</v>
      </c>
      <c r="D827" s="29" t="s">
        <v>466</v>
      </c>
    </row>
    <row r="828" spans="1:4" ht="12.75">
      <c r="A828" s="5" t="s">
        <v>1684</v>
      </c>
      <c r="B828" s="4" t="s">
        <v>500</v>
      </c>
      <c r="C828" s="4">
        <v>0.8</v>
      </c>
      <c r="D828" s="29" t="s">
        <v>1680</v>
      </c>
    </row>
    <row r="829" spans="1:4" ht="12.75">
      <c r="A829" s="5" t="s">
        <v>1685</v>
      </c>
      <c r="B829" s="4" t="s">
        <v>465</v>
      </c>
      <c r="C829" s="4">
        <v>0.22</v>
      </c>
      <c r="D829" s="29" t="s">
        <v>466</v>
      </c>
    </row>
    <row r="830" spans="1:4" ht="12.75">
      <c r="A830" s="5" t="s">
        <v>1686</v>
      </c>
      <c r="B830" s="4" t="s">
        <v>500</v>
      </c>
      <c r="C830" s="4">
        <v>5</v>
      </c>
      <c r="D830" s="29" t="s">
        <v>1687</v>
      </c>
    </row>
    <row r="831" spans="1:4" ht="12.75">
      <c r="A831" s="5" t="s">
        <v>1688</v>
      </c>
      <c r="B831" s="4" t="s">
        <v>484</v>
      </c>
      <c r="C831" s="4">
        <v>10</v>
      </c>
      <c r="D831" s="29" t="s">
        <v>482</v>
      </c>
    </row>
    <row r="832" spans="1:4" ht="12.75">
      <c r="A832" s="5" t="s">
        <v>1689</v>
      </c>
      <c r="B832" s="4" t="s">
        <v>500</v>
      </c>
      <c r="C832" s="4">
        <v>0.04</v>
      </c>
      <c r="D832" s="29" t="s">
        <v>466</v>
      </c>
    </row>
    <row r="833" spans="1:4" ht="12.75">
      <c r="A833" s="5" t="s">
        <v>1690</v>
      </c>
      <c r="B833" s="4" t="s">
        <v>475</v>
      </c>
      <c r="C833" s="4">
        <v>10</v>
      </c>
      <c r="D833" s="29" t="s">
        <v>476</v>
      </c>
    </row>
    <row r="834" spans="1:4" ht="12.75">
      <c r="A834" s="5" t="s">
        <v>441</v>
      </c>
      <c r="B834" s="4" t="s">
        <v>484</v>
      </c>
      <c r="C834" s="4">
        <v>0.1</v>
      </c>
      <c r="D834" s="29" t="s">
        <v>482</v>
      </c>
    </row>
    <row r="835" spans="1:4" ht="12.75">
      <c r="A835" s="5" t="s">
        <v>1691</v>
      </c>
      <c r="B835" s="4" t="s">
        <v>500</v>
      </c>
      <c r="C835" s="4">
        <v>1</v>
      </c>
      <c r="D835" s="29" t="s">
        <v>1680</v>
      </c>
    </row>
    <row r="836" spans="1:4" ht="12.75">
      <c r="A836" s="5" t="s">
        <v>1692</v>
      </c>
      <c r="B836" s="4" t="s">
        <v>494</v>
      </c>
      <c r="C836" s="4">
        <v>25</v>
      </c>
      <c r="D836" s="29" t="s">
        <v>482</v>
      </c>
    </row>
    <row r="837" spans="1:4" ht="12.75">
      <c r="A837" s="5" t="s">
        <v>1693</v>
      </c>
      <c r="B837" s="4" t="s">
        <v>481</v>
      </c>
      <c r="C837" s="4">
        <v>1</v>
      </c>
      <c r="D837" s="29" t="s">
        <v>513</v>
      </c>
    </row>
    <row r="838" spans="1:4" ht="12.75">
      <c r="A838" s="5" t="s">
        <v>1694</v>
      </c>
      <c r="B838" s="4" t="s">
        <v>481</v>
      </c>
      <c r="C838" s="4">
        <v>12</v>
      </c>
      <c r="D838" s="29" t="s">
        <v>513</v>
      </c>
    </row>
    <row r="839" spans="1:4" ht="12.75">
      <c r="A839" s="5" t="s">
        <v>1695</v>
      </c>
      <c r="B839" s="4" t="s">
        <v>475</v>
      </c>
      <c r="C839" s="4">
        <v>10</v>
      </c>
      <c r="D839" s="29" t="s">
        <v>476</v>
      </c>
    </row>
    <row r="840" spans="1:4" ht="12.75">
      <c r="A840" s="5" t="s">
        <v>1696</v>
      </c>
      <c r="B840" s="4" t="s">
        <v>475</v>
      </c>
      <c r="C840" s="4">
        <v>2500</v>
      </c>
      <c r="D840" s="29" t="s">
        <v>476</v>
      </c>
    </row>
    <row r="841" spans="1:4" ht="12.75">
      <c r="A841" s="5" t="s">
        <v>1697</v>
      </c>
      <c r="B841" s="4" t="s">
        <v>644</v>
      </c>
      <c r="C841" s="4">
        <v>0.02</v>
      </c>
      <c r="D841" s="29" t="s">
        <v>482</v>
      </c>
    </row>
    <row r="842" spans="1:4" ht="12.75">
      <c r="A842" s="5" t="s">
        <v>1698</v>
      </c>
      <c r="B842" s="4" t="s">
        <v>500</v>
      </c>
      <c r="C842" s="4">
        <v>3</v>
      </c>
      <c r="D842" s="29" t="s">
        <v>466</v>
      </c>
    </row>
    <row r="843" spans="1:4" ht="12.75">
      <c r="A843" s="5" t="s">
        <v>1699</v>
      </c>
      <c r="B843" s="4" t="s">
        <v>500</v>
      </c>
      <c r="C843" s="4">
        <v>0.02</v>
      </c>
      <c r="D843" s="29" t="s">
        <v>466</v>
      </c>
    </row>
    <row r="844" spans="1:4" ht="12.75">
      <c r="A844" s="5" t="s">
        <v>1700</v>
      </c>
      <c r="B844" s="4" t="s">
        <v>465</v>
      </c>
      <c r="C844" s="4">
        <v>2</v>
      </c>
      <c r="D844" s="29" t="s">
        <v>466</v>
      </c>
    </row>
    <row r="845" spans="1:4" ht="12.75">
      <c r="A845" s="5" t="s">
        <v>1701</v>
      </c>
      <c r="B845" s="4" t="s">
        <v>500</v>
      </c>
      <c r="C845" s="4">
        <v>4</v>
      </c>
      <c r="D845" s="29" t="s">
        <v>482</v>
      </c>
    </row>
    <row r="846" spans="1:4" ht="12.75">
      <c r="A846" s="5" t="s">
        <v>1702</v>
      </c>
      <c r="B846" s="4" t="s">
        <v>500</v>
      </c>
      <c r="C846" s="4">
        <v>0.1</v>
      </c>
      <c r="D846" s="29" t="s">
        <v>482</v>
      </c>
    </row>
    <row r="847" spans="1:4" ht="12.75">
      <c r="A847" s="5" t="s">
        <v>1703</v>
      </c>
      <c r="B847" s="4" t="s">
        <v>500</v>
      </c>
      <c r="C847" s="4">
        <v>0.75</v>
      </c>
      <c r="D847" s="29" t="s">
        <v>482</v>
      </c>
    </row>
    <row r="848" spans="1:4" ht="12.75">
      <c r="A848" s="5" t="s">
        <v>1704</v>
      </c>
      <c r="B848" s="4" t="s">
        <v>500</v>
      </c>
      <c r="C848" s="4">
        <v>0.01</v>
      </c>
      <c r="D848" s="29" t="s">
        <v>482</v>
      </c>
    </row>
    <row r="849" spans="1:4" ht="12.75">
      <c r="A849" s="5" t="s">
        <v>1705</v>
      </c>
      <c r="B849" s="4" t="s">
        <v>500</v>
      </c>
      <c r="C849" s="4">
        <v>7</v>
      </c>
      <c r="D849" s="29" t="s">
        <v>466</v>
      </c>
    </row>
    <row r="850" spans="1:4" ht="12.75">
      <c r="A850" s="5" t="s">
        <v>1706</v>
      </c>
      <c r="B850" s="4" t="s">
        <v>481</v>
      </c>
      <c r="C850" s="4">
        <v>1</v>
      </c>
      <c r="D850" s="29" t="s">
        <v>513</v>
      </c>
    </row>
    <row r="851" spans="1:4" ht="12.75">
      <c r="A851" s="5" t="s">
        <v>1713</v>
      </c>
      <c r="B851" s="4" t="s">
        <v>481</v>
      </c>
      <c r="C851" s="4">
        <v>10</v>
      </c>
      <c r="D851" s="29" t="s">
        <v>513</v>
      </c>
    </row>
    <row r="852" spans="1:4" ht="12.75">
      <c r="A852" s="5" t="s">
        <v>1714</v>
      </c>
      <c r="B852" s="4" t="s">
        <v>465</v>
      </c>
      <c r="C852" s="4">
        <v>0.15</v>
      </c>
      <c r="D852" s="29" t="s">
        <v>466</v>
      </c>
    </row>
    <row r="853" spans="1:4" ht="12.75">
      <c r="A853" s="5" t="s">
        <v>1715</v>
      </c>
      <c r="B853" s="4" t="s">
        <v>481</v>
      </c>
      <c r="C853" s="4">
        <v>0.5</v>
      </c>
      <c r="D853" s="29" t="s">
        <v>513</v>
      </c>
    </row>
    <row r="854" spans="1:4" ht="12.75">
      <c r="A854" s="5" t="s">
        <v>1716</v>
      </c>
      <c r="B854" s="4" t="s">
        <v>465</v>
      </c>
      <c r="C854" s="4">
        <v>0.02</v>
      </c>
      <c r="D854" s="29" t="s">
        <v>466</v>
      </c>
    </row>
    <row r="855" spans="1:4" ht="12.75">
      <c r="A855" s="5" t="s">
        <v>1717</v>
      </c>
      <c r="B855" s="4" t="s">
        <v>494</v>
      </c>
      <c r="C855" s="4">
        <v>3</v>
      </c>
      <c r="D855" s="29" t="s">
        <v>482</v>
      </c>
    </row>
    <row r="856" spans="1:4" ht="12.75">
      <c r="A856" s="5" t="s">
        <v>1718</v>
      </c>
      <c r="B856" s="4" t="s">
        <v>486</v>
      </c>
      <c r="C856" s="4">
        <v>0.02</v>
      </c>
      <c r="D856" s="29" t="s">
        <v>487</v>
      </c>
    </row>
    <row r="857" spans="1:4" ht="12.75">
      <c r="A857" s="5" t="s">
        <v>1719</v>
      </c>
      <c r="B857" s="4" t="s">
        <v>494</v>
      </c>
      <c r="C857" s="4">
        <v>0.07</v>
      </c>
      <c r="D857" s="29" t="s">
        <v>482</v>
      </c>
    </row>
    <row r="858" spans="1:4" ht="12.75">
      <c r="A858" s="5" t="s">
        <v>1720</v>
      </c>
      <c r="B858" s="4" t="s">
        <v>494</v>
      </c>
      <c r="C858" s="4">
        <v>0.02</v>
      </c>
      <c r="D858" s="29" t="s">
        <v>482</v>
      </c>
    </row>
    <row r="859" spans="1:4" ht="12.75">
      <c r="A859" s="5" t="s">
        <v>1721</v>
      </c>
      <c r="B859" s="4" t="s">
        <v>468</v>
      </c>
      <c r="C859" s="4">
        <v>0.03</v>
      </c>
      <c r="D859" s="29" t="s">
        <v>482</v>
      </c>
    </row>
    <row r="860" spans="1:4" ht="12.75">
      <c r="A860" s="5" t="s">
        <v>1722</v>
      </c>
      <c r="B860" s="4" t="s">
        <v>479</v>
      </c>
      <c r="C860" s="4">
        <v>375</v>
      </c>
      <c r="D860" s="29" t="s">
        <v>466</v>
      </c>
    </row>
    <row r="861" spans="1:4" ht="12.75">
      <c r="A861" s="5" t="s">
        <v>1723</v>
      </c>
      <c r="B861" s="4" t="s">
        <v>563</v>
      </c>
      <c r="C861" s="4">
        <v>600</v>
      </c>
      <c r="D861" s="29" t="s">
        <v>482</v>
      </c>
    </row>
    <row r="862" spans="1:4" ht="12.75">
      <c r="A862" s="5" t="s">
        <v>1724</v>
      </c>
      <c r="B862" s="4" t="s">
        <v>481</v>
      </c>
      <c r="C862" s="4">
        <v>10</v>
      </c>
      <c r="D862" s="29" t="s">
        <v>513</v>
      </c>
    </row>
    <row r="863" spans="1:4" ht="12.75">
      <c r="A863" s="5" t="s">
        <v>1725</v>
      </c>
      <c r="B863" s="4" t="s">
        <v>481</v>
      </c>
      <c r="C863" s="4">
        <v>130</v>
      </c>
      <c r="D863" s="29" t="s">
        <v>513</v>
      </c>
    </row>
    <row r="864" spans="1:4" ht="12.75">
      <c r="A864" s="5" t="s">
        <v>1726</v>
      </c>
      <c r="B864" s="4" t="s">
        <v>500</v>
      </c>
      <c r="C864" s="4">
        <v>100</v>
      </c>
      <c r="D864" s="29" t="s">
        <v>482</v>
      </c>
    </row>
    <row r="865" spans="1:4" ht="12.75">
      <c r="A865" s="5" t="s">
        <v>1727</v>
      </c>
      <c r="B865" s="4" t="s">
        <v>500</v>
      </c>
      <c r="C865" s="4">
        <v>24</v>
      </c>
      <c r="D865" s="29" t="s">
        <v>482</v>
      </c>
    </row>
    <row r="866" spans="1:4" ht="12.75">
      <c r="A866" s="5" t="s">
        <v>1728</v>
      </c>
      <c r="B866" s="4" t="s">
        <v>500</v>
      </c>
      <c r="C866" s="4">
        <v>4</v>
      </c>
      <c r="D866" s="29" t="s">
        <v>482</v>
      </c>
    </row>
    <row r="867" spans="1:4" ht="12.75">
      <c r="A867" s="5" t="s">
        <v>1729</v>
      </c>
      <c r="B867" s="4" t="s">
        <v>465</v>
      </c>
      <c r="C867" s="4">
        <v>0.01</v>
      </c>
      <c r="D867" s="29" t="s">
        <v>466</v>
      </c>
    </row>
    <row r="868" spans="1:4" ht="12.75">
      <c r="A868" s="5" t="s">
        <v>1729</v>
      </c>
      <c r="B868" s="4" t="s">
        <v>465</v>
      </c>
      <c r="C868" s="4">
        <v>3</v>
      </c>
      <c r="D868" s="29" t="s">
        <v>1730</v>
      </c>
    </row>
    <row r="869" spans="1:4" ht="12.75">
      <c r="A869" s="5" t="s">
        <v>1731</v>
      </c>
      <c r="B869" s="4" t="s">
        <v>465</v>
      </c>
      <c r="C869" s="4">
        <v>0.01</v>
      </c>
      <c r="D869" s="29" t="s">
        <v>466</v>
      </c>
    </row>
    <row r="870" spans="1:4" ht="12.75">
      <c r="A870" s="5" t="s">
        <v>1732</v>
      </c>
      <c r="B870" s="4" t="s">
        <v>468</v>
      </c>
      <c r="C870" s="4">
        <v>1</v>
      </c>
      <c r="D870" s="29" t="s">
        <v>542</v>
      </c>
    </row>
    <row r="871" spans="1:4" ht="12.75">
      <c r="A871" s="5" t="s">
        <v>1733</v>
      </c>
      <c r="B871" s="4" t="s">
        <v>644</v>
      </c>
      <c r="C871" s="4">
        <v>30</v>
      </c>
      <c r="D871" s="29" t="s">
        <v>482</v>
      </c>
    </row>
    <row r="872" spans="1:4" ht="12.75">
      <c r="A872" s="5" t="s">
        <v>1734</v>
      </c>
      <c r="B872" s="4" t="s">
        <v>475</v>
      </c>
      <c r="C872" s="4">
        <v>5</v>
      </c>
      <c r="D872" s="29" t="s">
        <v>476</v>
      </c>
    </row>
    <row r="873" spans="1:4" ht="12.75">
      <c r="A873" s="5" t="s">
        <v>1735</v>
      </c>
      <c r="B873" s="4" t="s">
        <v>465</v>
      </c>
      <c r="C873" s="4">
        <v>0.02</v>
      </c>
      <c r="D873" s="29" t="s">
        <v>466</v>
      </c>
    </row>
    <row r="874" spans="1:4" ht="12.75">
      <c r="A874" s="5" t="s">
        <v>1736</v>
      </c>
      <c r="B874" s="4" t="s">
        <v>500</v>
      </c>
      <c r="C874" s="4">
        <v>0.45</v>
      </c>
      <c r="D874" s="29" t="s">
        <v>466</v>
      </c>
    </row>
    <row r="875" spans="1:4" ht="12.75">
      <c r="A875" s="5" t="s">
        <v>1737</v>
      </c>
      <c r="B875" s="4" t="s">
        <v>563</v>
      </c>
      <c r="C875" s="4">
        <v>4000</v>
      </c>
      <c r="D875" s="29" t="s">
        <v>482</v>
      </c>
    </row>
    <row r="876" spans="1:4" ht="12.75">
      <c r="A876" s="5" t="s">
        <v>1738</v>
      </c>
      <c r="B876" s="4" t="s">
        <v>494</v>
      </c>
      <c r="C876" s="4">
        <v>5000</v>
      </c>
      <c r="D876" s="29" t="s">
        <v>482</v>
      </c>
    </row>
    <row r="877" spans="1:4" ht="12.75">
      <c r="A877" s="5" t="s">
        <v>1739</v>
      </c>
      <c r="B877" s="4" t="s">
        <v>465</v>
      </c>
      <c r="C877" s="4">
        <v>0.1</v>
      </c>
      <c r="D877" s="29" t="s">
        <v>560</v>
      </c>
    </row>
    <row r="878" spans="1:4" ht="12.75">
      <c r="A878" s="5" t="s">
        <v>1740</v>
      </c>
      <c r="B878" s="4" t="s">
        <v>465</v>
      </c>
      <c r="C878" s="4">
        <v>0.85</v>
      </c>
      <c r="D878" s="29" t="s">
        <v>560</v>
      </c>
    </row>
    <row r="879" spans="1:4" ht="12.75">
      <c r="A879" s="5" t="s">
        <v>1741</v>
      </c>
      <c r="B879" s="4" t="s">
        <v>465</v>
      </c>
      <c r="C879" s="4">
        <v>0.35</v>
      </c>
      <c r="D879" s="29" t="s">
        <v>560</v>
      </c>
    </row>
    <row r="880" spans="1:4" ht="12.75">
      <c r="A880" s="5" t="s">
        <v>1742</v>
      </c>
      <c r="B880" s="4" t="s">
        <v>465</v>
      </c>
      <c r="C880" s="4">
        <v>0.01</v>
      </c>
      <c r="D880" s="29" t="s">
        <v>466</v>
      </c>
    </row>
    <row r="881" spans="1:4" ht="12.75">
      <c r="A881" s="5" t="s">
        <v>1856</v>
      </c>
      <c r="B881" s="4" t="s">
        <v>475</v>
      </c>
      <c r="C881" s="4">
        <v>5</v>
      </c>
      <c r="D881" s="29" t="s">
        <v>476</v>
      </c>
    </row>
    <row r="882" spans="1:4" ht="12.75">
      <c r="A882" s="5" t="s">
        <v>1857</v>
      </c>
      <c r="B882" s="4" t="s">
        <v>465</v>
      </c>
      <c r="C882" s="4">
        <v>0.02</v>
      </c>
      <c r="D882" s="29" t="s">
        <v>466</v>
      </c>
    </row>
    <row r="883" spans="1:4" ht="12.75">
      <c r="A883" s="5" t="s">
        <v>1858</v>
      </c>
      <c r="B883" s="4" t="s">
        <v>465</v>
      </c>
      <c r="C883" s="4">
        <v>0.05</v>
      </c>
      <c r="D883" s="29" t="s">
        <v>560</v>
      </c>
    </row>
    <row r="884" spans="1:4" ht="12.75">
      <c r="A884" s="5" t="s">
        <v>1859</v>
      </c>
      <c r="B884" s="4" t="s">
        <v>465</v>
      </c>
      <c r="C884" s="4">
        <v>0.65</v>
      </c>
      <c r="D884" s="29" t="s">
        <v>560</v>
      </c>
    </row>
    <row r="885" spans="1:4" ht="12.75">
      <c r="A885" s="5" t="s">
        <v>1860</v>
      </c>
      <c r="B885" s="4" t="s">
        <v>465</v>
      </c>
      <c r="C885" s="4">
        <v>0.15</v>
      </c>
      <c r="D885" s="29" t="s">
        <v>560</v>
      </c>
    </row>
    <row r="886" spans="1:4" ht="12.75">
      <c r="A886" s="5" t="s">
        <v>1861</v>
      </c>
      <c r="B886" s="4" t="s">
        <v>484</v>
      </c>
      <c r="C886" s="4">
        <v>8</v>
      </c>
      <c r="D886" s="29" t="s">
        <v>482</v>
      </c>
    </row>
    <row r="887" spans="1:4" ht="12.75">
      <c r="A887" s="5" t="s">
        <v>1862</v>
      </c>
      <c r="B887" s="4" t="s">
        <v>481</v>
      </c>
      <c r="C887" s="4">
        <v>0.7</v>
      </c>
      <c r="D887" s="29" t="s">
        <v>513</v>
      </c>
    </row>
    <row r="888" spans="1:4" ht="12.75">
      <c r="A888" s="5" t="s">
        <v>435</v>
      </c>
      <c r="B888" s="4" t="s">
        <v>484</v>
      </c>
      <c r="C888" s="4">
        <v>6</v>
      </c>
      <c r="D888" s="29" t="s">
        <v>482</v>
      </c>
    </row>
    <row r="889" spans="1:4" ht="12.75">
      <c r="A889" s="5" t="s">
        <v>1863</v>
      </c>
      <c r="B889" s="4" t="s">
        <v>491</v>
      </c>
      <c r="C889" s="4">
        <v>4</v>
      </c>
      <c r="D889" s="29" t="s">
        <v>1864</v>
      </c>
    </row>
    <row r="890" spans="1:4" ht="12.75">
      <c r="A890" s="5" t="s">
        <v>1865</v>
      </c>
      <c r="B890" s="4" t="s">
        <v>465</v>
      </c>
      <c r="C890" s="4">
        <v>0.01</v>
      </c>
      <c r="D890" s="29" t="s">
        <v>466</v>
      </c>
    </row>
    <row r="891" spans="1:4" ht="12.75">
      <c r="A891" s="5" t="s">
        <v>1866</v>
      </c>
      <c r="B891" s="4" t="s">
        <v>475</v>
      </c>
      <c r="C891" s="4">
        <v>5</v>
      </c>
      <c r="D891" s="29" t="s">
        <v>476</v>
      </c>
    </row>
    <row r="892" spans="1:4" ht="12.75">
      <c r="A892" s="5" t="s">
        <v>1867</v>
      </c>
      <c r="B892" s="4" t="s">
        <v>500</v>
      </c>
      <c r="C892" s="4">
        <v>15</v>
      </c>
      <c r="D892" s="29" t="s">
        <v>466</v>
      </c>
    </row>
    <row r="893" spans="1:4" ht="12.75">
      <c r="A893" s="5" t="s">
        <v>1868</v>
      </c>
      <c r="B893" s="4" t="s">
        <v>465</v>
      </c>
      <c r="C893" s="4">
        <v>0.01</v>
      </c>
      <c r="D893" s="29" t="s">
        <v>466</v>
      </c>
    </row>
    <row r="894" spans="1:4" ht="12.75">
      <c r="A894" s="5" t="s">
        <v>1869</v>
      </c>
      <c r="B894" s="4" t="s">
        <v>468</v>
      </c>
      <c r="C894" s="4">
        <v>3</v>
      </c>
      <c r="D894" s="29" t="s">
        <v>560</v>
      </c>
    </row>
    <row r="895" spans="1:4" ht="12.75">
      <c r="A895" s="5" t="s">
        <v>1870</v>
      </c>
      <c r="B895" s="4" t="s">
        <v>465</v>
      </c>
      <c r="C895" s="4">
        <v>0.05</v>
      </c>
      <c r="D895" s="29" t="s">
        <v>466</v>
      </c>
    </row>
    <row r="896" spans="1:4" ht="12.75">
      <c r="A896" s="5" t="s">
        <v>1871</v>
      </c>
      <c r="B896" s="4" t="s">
        <v>465</v>
      </c>
      <c r="C896" s="4">
        <v>0.05</v>
      </c>
      <c r="D896" s="29" t="s">
        <v>466</v>
      </c>
    </row>
    <row r="897" spans="1:4" ht="12.75">
      <c r="A897" s="5" t="s">
        <v>1872</v>
      </c>
      <c r="B897" s="4" t="s">
        <v>465</v>
      </c>
      <c r="C897" s="4">
        <v>0.04</v>
      </c>
      <c r="D897" s="29" t="s">
        <v>560</v>
      </c>
    </row>
    <row r="898" spans="1:4" ht="12.75">
      <c r="A898" s="5" t="s">
        <v>1883</v>
      </c>
      <c r="B898" s="4" t="s">
        <v>465</v>
      </c>
      <c r="C898" s="4">
        <v>1.2</v>
      </c>
      <c r="D898" s="29" t="s">
        <v>560</v>
      </c>
    </row>
    <row r="899" spans="1:4" ht="12.75">
      <c r="A899" s="5" t="s">
        <v>1884</v>
      </c>
      <c r="B899" s="4" t="s">
        <v>465</v>
      </c>
      <c r="C899" s="4">
        <v>0.07</v>
      </c>
      <c r="D899" s="29" t="s">
        <v>560</v>
      </c>
    </row>
    <row r="900" spans="1:4" ht="12.75">
      <c r="A900" s="5" t="s">
        <v>1885</v>
      </c>
      <c r="B900" s="4" t="s">
        <v>465</v>
      </c>
      <c r="C900" s="4">
        <v>0.02</v>
      </c>
      <c r="D900" s="29" t="s">
        <v>560</v>
      </c>
    </row>
    <row r="901" spans="1:4" ht="12.75">
      <c r="A901" s="5" t="s">
        <v>1886</v>
      </c>
      <c r="B901" s="4" t="s">
        <v>465</v>
      </c>
      <c r="C901" s="4">
        <v>0.4</v>
      </c>
      <c r="D901" s="29" t="s">
        <v>560</v>
      </c>
    </row>
    <row r="902" spans="1:4" ht="12.75">
      <c r="A902" s="5" t="s">
        <v>1887</v>
      </c>
      <c r="B902" s="4" t="s">
        <v>465</v>
      </c>
      <c r="C902" s="4">
        <v>0.05</v>
      </c>
      <c r="D902" s="29" t="s">
        <v>560</v>
      </c>
    </row>
    <row r="903" spans="1:4" ht="12.75">
      <c r="A903" s="5" t="s">
        <v>1888</v>
      </c>
      <c r="B903" s="4" t="s">
        <v>590</v>
      </c>
      <c r="C903" s="4">
        <v>25</v>
      </c>
      <c r="D903" s="29" t="s">
        <v>600</v>
      </c>
    </row>
    <row r="904" spans="1:4" ht="12.75">
      <c r="A904" s="5" t="s">
        <v>1889</v>
      </c>
      <c r="B904" s="4" t="s">
        <v>590</v>
      </c>
      <c r="C904" s="4">
        <v>45</v>
      </c>
      <c r="D904" s="29" t="s">
        <v>600</v>
      </c>
    </row>
    <row r="905" spans="1:4" ht="12.75">
      <c r="A905" s="5" t="s">
        <v>1890</v>
      </c>
      <c r="B905" s="4" t="s">
        <v>590</v>
      </c>
      <c r="C905" s="4">
        <v>10</v>
      </c>
      <c r="D905" s="29" t="s">
        <v>600</v>
      </c>
    </row>
    <row r="906" spans="1:4" ht="12.75">
      <c r="A906" s="5" t="s">
        <v>1891</v>
      </c>
      <c r="B906" s="4" t="s">
        <v>590</v>
      </c>
      <c r="C906" s="4">
        <v>35</v>
      </c>
      <c r="D906" s="29" t="s">
        <v>600</v>
      </c>
    </row>
    <row r="907" spans="1:4" ht="12.75">
      <c r="A907" s="5" t="s">
        <v>1892</v>
      </c>
      <c r="B907" s="4" t="s">
        <v>590</v>
      </c>
      <c r="C907" s="4">
        <v>15</v>
      </c>
      <c r="D907" s="29" t="s">
        <v>600</v>
      </c>
    </row>
    <row r="908" spans="1:4" ht="12.75">
      <c r="A908" s="5" t="s">
        <v>1893</v>
      </c>
      <c r="B908" s="4" t="s">
        <v>644</v>
      </c>
      <c r="C908" s="4">
        <v>75</v>
      </c>
      <c r="D908" s="29" t="s">
        <v>482</v>
      </c>
    </row>
    <row r="909" spans="1:4" ht="12.75">
      <c r="A909" s="5" t="s">
        <v>1894</v>
      </c>
      <c r="B909" s="4" t="s">
        <v>644</v>
      </c>
      <c r="C909" s="4">
        <v>10</v>
      </c>
      <c r="D909" s="29" t="s">
        <v>482</v>
      </c>
    </row>
    <row r="910" spans="1:4" ht="12.75">
      <c r="A910" s="5" t="s">
        <v>1895</v>
      </c>
      <c r="B910" s="4" t="s">
        <v>541</v>
      </c>
      <c r="C910" s="4">
        <v>0.04</v>
      </c>
      <c r="D910" s="29" t="s">
        <v>542</v>
      </c>
    </row>
    <row r="911" spans="1:4" ht="12.75">
      <c r="A911" s="5" t="s">
        <v>1896</v>
      </c>
      <c r="B911" s="4" t="s">
        <v>473</v>
      </c>
      <c r="C911" s="4">
        <v>9</v>
      </c>
      <c r="D911" s="29" t="s">
        <v>469</v>
      </c>
    </row>
    <row r="912" spans="1:4" ht="12.75">
      <c r="A912" s="5" t="s">
        <v>1897</v>
      </c>
      <c r="B912" s="4" t="s">
        <v>475</v>
      </c>
      <c r="C912" s="4">
        <v>1</v>
      </c>
      <c r="D912" s="29" t="s">
        <v>476</v>
      </c>
    </row>
    <row r="913" spans="1:4" ht="12.75">
      <c r="A913" s="5" t="s">
        <v>1898</v>
      </c>
      <c r="B913" s="4" t="s">
        <v>494</v>
      </c>
      <c r="C913" s="4">
        <v>500</v>
      </c>
      <c r="D913" s="29" t="s">
        <v>482</v>
      </c>
    </row>
    <row r="914" spans="1:4" ht="12.75">
      <c r="A914" s="5" t="s">
        <v>1899</v>
      </c>
      <c r="B914" s="4" t="s">
        <v>541</v>
      </c>
      <c r="C914" s="4">
        <v>0.03</v>
      </c>
      <c r="D914" s="29" t="s">
        <v>542</v>
      </c>
    </row>
    <row r="915" spans="1:4" ht="12.75">
      <c r="A915" s="5" t="s">
        <v>1900</v>
      </c>
      <c r="B915" s="4" t="s">
        <v>563</v>
      </c>
      <c r="C915" s="4">
        <v>100</v>
      </c>
      <c r="D915" s="29" t="s">
        <v>482</v>
      </c>
    </row>
    <row r="916" spans="1:4" ht="12.75">
      <c r="A916" s="5" t="s">
        <v>1901</v>
      </c>
      <c r="B916" s="4" t="s">
        <v>541</v>
      </c>
      <c r="C916" s="4">
        <v>0.03</v>
      </c>
      <c r="D916" s="29" t="s">
        <v>542</v>
      </c>
    </row>
    <row r="917" spans="1:4" ht="12.75">
      <c r="A917" s="5" t="s">
        <v>1902</v>
      </c>
      <c r="B917" s="4" t="s">
        <v>590</v>
      </c>
      <c r="C917" s="4">
        <v>17</v>
      </c>
      <c r="D917" s="29" t="s">
        <v>482</v>
      </c>
    </row>
    <row r="918" spans="1:4" ht="12.75">
      <c r="A918" s="5" t="s">
        <v>1912</v>
      </c>
      <c r="B918" s="4" t="s">
        <v>590</v>
      </c>
      <c r="C918" s="4">
        <v>200</v>
      </c>
      <c r="D918" s="29" t="s">
        <v>482</v>
      </c>
    </row>
    <row r="919" spans="1:4" ht="12.75">
      <c r="A919" s="5" t="s">
        <v>1913</v>
      </c>
      <c r="B919" s="4" t="s">
        <v>590</v>
      </c>
      <c r="C919" s="4">
        <v>45</v>
      </c>
      <c r="D919" s="29" t="s">
        <v>482</v>
      </c>
    </row>
    <row r="920" spans="1:4" ht="12.75">
      <c r="A920" s="5" t="s">
        <v>1914</v>
      </c>
      <c r="B920" s="4" t="s">
        <v>590</v>
      </c>
      <c r="C920" s="4">
        <v>30</v>
      </c>
      <c r="D920" s="29" t="s">
        <v>482</v>
      </c>
    </row>
    <row r="921" spans="1:4" ht="12.75">
      <c r="A921" s="5" t="s">
        <v>1915</v>
      </c>
      <c r="B921" s="4" t="s">
        <v>590</v>
      </c>
      <c r="C921" s="4">
        <v>90</v>
      </c>
      <c r="D921" s="29" t="s">
        <v>482</v>
      </c>
    </row>
    <row r="922" spans="1:4" ht="12.75">
      <c r="A922" s="5" t="s">
        <v>1916</v>
      </c>
      <c r="B922" s="4" t="s">
        <v>590</v>
      </c>
      <c r="C922" s="4">
        <v>10</v>
      </c>
      <c r="D922" s="29" t="s">
        <v>482</v>
      </c>
    </row>
    <row r="923" spans="1:4" ht="12.75">
      <c r="A923" s="5" t="s">
        <v>1917</v>
      </c>
      <c r="B923" s="4" t="s">
        <v>465</v>
      </c>
      <c r="C923" s="4">
        <v>0.05</v>
      </c>
      <c r="D923" s="29" t="s">
        <v>466</v>
      </c>
    </row>
    <row r="924" spans="1:4" ht="12.75">
      <c r="A924" s="5" t="s">
        <v>1918</v>
      </c>
      <c r="B924" s="4" t="s">
        <v>465</v>
      </c>
      <c r="C924" s="4">
        <v>0.03</v>
      </c>
      <c r="D924" s="29" t="s">
        <v>560</v>
      </c>
    </row>
    <row r="925" spans="1:4" ht="12.75">
      <c r="A925" s="5" t="s">
        <v>1919</v>
      </c>
      <c r="B925" s="4" t="s">
        <v>465</v>
      </c>
      <c r="C925" s="4">
        <v>0.15</v>
      </c>
      <c r="D925" s="29" t="s">
        <v>560</v>
      </c>
    </row>
    <row r="926" spans="1:4" ht="12.75">
      <c r="A926" s="5" t="s">
        <v>1920</v>
      </c>
      <c r="B926" s="4" t="s">
        <v>465</v>
      </c>
      <c r="C926" s="4">
        <v>0.08</v>
      </c>
      <c r="D926" s="29" t="s">
        <v>560</v>
      </c>
    </row>
    <row r="927" spans="1:4" ht="12.75">
      <c r="A927" s="5" t="s">
        <v>1921</v>
      </c>
      <c r="B927" s="4" t="s">
        <v>465</v>
      </c>
      <c r="C927" s="4">
        <v>0.22</v>
      </c>
      <c r="D927" s="29" t="s">
        <v>466</v>
      </c>
    </row>
    <row r="928" spans="1:4" ht="12.75">
      <c r="A928" s="5" t="s">
        <v>1922</v>
      </c>
      <c r="B928" s="4" t="s">
        <v>486</v>
      </c>
      <c r="C928" s="4">
        <v>0.22</v>
      </c>
      <c r="D928" s="29" t="s">
        <v>487</v>
      </c>
    </row>
    <row r="929" spans="1:4" ht="12.75">
      <c r="A929" s="5" t="s">
        <v>1923</v>
      </c>
      <c r="B929" s="4" t="s">
        <v>500</v>
      </c>
      <c r="C929" s="4">
        <v>2.5</v>
      </c>
      <c r="D929" s="29" t="s">
        <v>560</v>
      </c>
    </row>
    <row r="930" spans="1:4" ht="12.75">
      <c r="A930" s="5" t="s">
        <v>1924</v>
      </c>
      <c r="B930" s="4" t="s">
        <v>475</v>
      </c>
      <c r="C930" s="4">
        <v>5</v>
      </c>
      <c r="D930" s="29" t="s">
        <v>476</v>
      </c>
    </row>
    <row r="931" spans="1:4" ht="12.75">
      <c r="A931" s="5" t="s">
        <v>1925</v>
      </c>
      <c r="B931" s="4" t="s">
        <v>494</v>
      </c>
      <c r="C931" s="4">
        <v>0.5</v>
      </c>
      <c r="D931" s="29" t="s">
        <v>482</v>
      </c>
    </row>
    <row r="932" spans="1:4" ht="12.75">
      <c r="A932" s="5" t="s">
        <v>1926</v>
      </c>
      <c r="B932" s="4" t="s">
        <v>465</v>
      </c>
      <c r="C932" s="4">
        <v>0.01</v>
      </c>
      <c r="D932" s="29" t="s">
        <v>560</v>
      </c>
    </row>
    <row r="933" spans="1:4" ht="12.75">
      <c r="A933" s="5" t="s">
        <v>1927</v>
      </c>
      <c r="B933" s="4" t="s">
        <v>465</v>
      </c>
      <c r="C933" s="4">
        <v>0.05</v>
      </c>
      <c r="D933" s="29" t="s">
        <v>560</v>
      </c>
    </row>
    <row r="934" spans="1:4" ht="12.75">
      <c r="A934" s="5" t="s">
        <v>1933</v>
      </c>
      <c r="B934" s="4" t="s">
        <v>465</v>
      </c>
      <c r="C934" s="4">
        <v>0.9</v>
      </c>
      <c r="D934" s="29" t="s">
        <v>560</v>
      </c>
    </row>
    <row r="935" spans="1:4" ht="12.75">
      <c r="A935" s="5" t="s">
        <v>1934</v>
      </c>
      <c r="B935" s="4" t="s">
        <v>465</v>
      </c>
      <c r="C935" s="4">
        <v>0.03</v>
      </c>
      <c r="D935" s="29" t="s">
        <v>560</v>
      </c>
    </row>
    <row r="936" spans="1:4" ht="12.75">
      <c r="A936" s="5" t="s">
        <v>1935</v>
      </c>
      <c r="B936" s="4" t="s">
        <v>465</v>
      </c>
      <c r="C936" s="4">
        <v>0.2</v>
      </c>
      <c r="D936" s="29" t="s">
        <v>466</v>
      </c>
    </row>
    <row r="937" spans="1:4" ht="12.75">
      <c r="A937" s="5" t="s">
        <v>1936</v>
      </c>
      <c r="B937" s="4" t="s">
        <v>644</v>
      </c>
      <c r="C937" s="4">
        <v>2000</v>
      </c>
      <c r="D937" s="29" t="s">
        <v>482</v>
      </c>
    </row>
    <row r="938" spans="1:4" ht="12.75">
      <c r="A938" s="5" t="s">
        <v>1937</v>
      </c>
      <c r="B938" s="4" t="s">
        <v>644</v>
      </c>
      <c r="C938" s="4">
        <v>500</v>
      </c>
      <c r="D938" s="29" t="s">
        <v>482</v>
      </c>
    </row>
    <row r="939" spans="1:4" ht="12.75">
      <c r="A939" s="5" t="s">
        <v>1938</v>
      </c>
      <c r="B939" s="4" t="s">
        <v>644</v>
      </c>
      <c r="C939" s="4">
        <v>500</v>
      </c>
      <c r="D939" s="29" t="s">
        <v>482</v>
      </c>
    </row>
    <row r="940" spans="1:4" ht="12.75">
      <c r="A940" s="5" t="s">
        <v>1939</v>
      </c>
      <c r="B940" s="4" t="s">
        <v>644</v>
      </c>
      <c r="C940" s="4">
        <v>150</v>
      </c>
      <c r="D940" s="29" t="s">
        <v>482</v>
      </c>
    </row>
    <row r="941" spans="1:4" ht="12.75">
      <c r="A941" s="5" t="s">
        <v>1942</v>
      </c>
      <c r="B941" s="4" t="s">
        <v>644</v>
      </c>
      <c r="C941" s="4">
        <v>500</v>
      </c>
      <c r="D941" s="29" t="s">
        <v>482</v>
      </c>
    </row>
    <row r="942" spans="1:4" ht="12.75">
      <c r="A942" s="5" t="s">
        <v>1943</v>
      </c>
      <c r="B942" s="4" t="s">
        <v>644</v>
      </c>
      <c r="C942" s="4">
        <v>1000</v>
      </c>
      <c r="D942" s="29" t="s">
        <v>482</v>
      </c>
    </row>
    <row r="943" spans="1:4" ht="12.75">
      <c r="A943" s="5" t="s">
        <v>1944</v>
      </c>
      <c r="B943" s="4" t="s">
        <v>484</v>
      </c>
      <c r="C943" s="4">
        <v>7</v>
      </c>
      <c r="D943" s="29" t="s">
        <v>482</v>
      </c>
    </row>
    <row r="944" spans="1:4" ht="12.75">
      <c r="A944" s="5" t="s">
        <v>1945</v>
      </c>
      <c r="B944" s="4" t="s">
        <v>486</v>
      </c>
      <c r="C944" s="4">
        <v>0.12</v>
      </c>
      <c r="D944" s="29" t="s">
        <v>487</v>
      </c>
    </row>
    <row r="945" spans="1:4" ht="12.75">
      <c r="A945" s="5" t="s">
        <v>1946</v>
      </c>
      <c r="B945" s="4" t="s">
        <v>465</v>
      </c>
      <c r="C945" s="4">
        <v>0.01</v>
      </c>
      <c r="D945" s="29" t="s">
        <v>466</v>
      </c>
    </row>
    <row r="946" spans="1:4" ht="12.75">
      <c r="A946" s="5" t="s">
        <v>1947</v>
      </c>
      <c r="B946" s="4" t="s">
        <v>465</v>
      </c>
      <c r="C946" s="4">
        <v>0.02</v>
      </c>
      <c r="D946" s="29" t="s">
        <v>560</v>
      </c>
    </row>
    <row r="947" spans="1:4" ht="12.75">
      <c r="A947" s="5" t="s">
        <v>1948</v>
      </c>
      <c r="B947" s="4" t="s">
        <v>465</v>
      </c>
      <c r="C947" s="4">
        <v>0.09</v>
      </c>
      <c r="D947" s="29" t="s">
        <v>560</v>
      </c>
    </row>
    <row r="948" spans="1:4" ht="12.75">
      <c r="A948" s="5" t="s">
        <v>1949</v>
      </c>
      <c r="B948" s="4" t="s">
        <v>465</v>
      </c>
      <c r="C948" s="4">
        <v>1.15</v>
      </c>
      <c r="D948" s="29" t="s">
        <v>560</v>
      </c>
    </row>
    <row r="949" spans="1:4" ht="12.75">
      <c r="A949" s="5" t="s">
        <v>1950</v>
      </c>
      <c r="B949" s="4" t="s">
        <v>465</v>
      </c>
      <c r="C949" s="4">
        <v>0.04</v>
      </c>
      <c r="D949" s="29" t="s">
        <v>560</v>
      </c>
    </row>
    <row r="950" spans="1:4" ht="12.75">
      <c r="A950" s="5" t="s">
        <v>1951</v>
      </c>
      <c r="B950" s="4" t="s">
        <v>465</v>
      </c>
      <c r="C950" s="4">
        <v>0.02</v>
      </c>
      <c r="D950" s="29" t="s">
        <v>466</v>
      </c>
    </row>
    <row r="951" spans="1:4" ht="12.75">
      <c r="A951" s="5" t="s">
        <v>1952</v>
      </c>
      <c r="B951" s="4" t="s">
        <v>465</v>
      </c>
      <c r="C951" s="4">
        <v>0.03</v>
      </c>
      <c r="D951" s="29" t="s">
        <v>466</v>
      </c>
    </row>
    <row r="952" spans="1:4" ht="12.75">
      <c r="A952" s="5" t="s">
        <v>1953</v>
      </c>
      <c r="B952" s="4" t="s">
        <v>465</v>
      </c>
      <c r="C952" s="4">
        <v>0.01</v>
      </c>
      <c r="D952" s="29" t="s">
        <v>560</v>
      </c>
    </row>
    <row r="953" spans="1:4" ht="12.75">
      <c r="A953" s="5" t="s">
        <v>1954</v>
      </c>
      <c r="B953" s="4" t="s">
        <v>465</v>
      </c>
      <c r="C953" s="4">
        <v>0.24</v>
      </c>
      <c r="D953" s="29" t="s">
        <v>560</v>
      </c>
    </row>
    <row r="954" spans="1:4" ht="12.75">
      <c r="A954" s="5" t="s">
        <v>1955</v>
      </c>
      <c r="B954" s="4" t="s">
        <v>465</v>
      </c>
      <c r="C954" s="4">
        <v>0.06</v>
      </c>
      <c r="D954" s="29" t="s">
        <v>560</v>
      </c>
    </row>
    <row r="955" spans="1:4" ht="12.75">
      <c r="A955" s="5" t="s">
        <v>1956</v>
      </c>
      <c r="B955" s="4" t="s">
        <v>465</v>
      </c>
      <c r="C955" s="4">
        <v>0.2</v>
      </c>
      <c r="D955" s="29" t="s">
        <v>466</v>
      </c>
    </row>
    <row r="956" spans="1:4" ht="12.75">
      <c r="A956" s="5" t="s">
        <v>1957</v>
      </c>
      <c r="B956" s="4" t="s">
        <v>500</v>
      </c>
      <c r="C956" s="4">
        <v>2</v>
      </c>
      <c r="D956" s="29" t="s">
        <v>482</v>
      </c>
    </row>
    <row r="957" spans="1:4" ht="12.75">
      <c r="A957" s="5" t="s">
        <v>1958</v>
      </c>
      <c r="B957" s="4" t="s">
        <v>567</v>
      </c>
      <c r="C957" s="4">
        <v>2</v>
      </c>
      <c r="D957" s="29" t="s">
        <v>482</v>
      </c>
    </row>
    <row r="958" spans="1:4" ht="12.75">
      <c r="A958" s="5" t="s">
        <v>1959</v>
      </c>
      <c r="B958" s="4" t="s">
        <v>567</v>
      </c>
      <c r="C958" s="4">
        <v>100</v>
      </c>
      <c r="D958" s="29" t="s">
        <v>482</v>
      </c>
    </row>
    <row r="959" spans="1:4" ht="12.75">
      <c r="A959" s="5" t="s">
        <v>1960</v>
      </c>
      <c r="B959" s="4" t="s">
        <v>494</v>
      </c>
      <c r="C959" s="4">
        <v>1.5</v>
      </c>
      <c r="D959" s="29" t="s">
        <v>720</v>
      </c>
    </row>
    <row r="960" spans="1:4" ht="12.75">
      <c r="A960" s="5" t="s">
        <v>1961</v>
      </c>
      <c r="B960" s="4" t="s">
        <v>500</v>
      </c>
      <c r="C960" s="4">
        <v>0.2</v>
      </c>
      <c r="D960" s="29" t="s">
        <v>482</v>
      </c>
    </row>
    <row r="961" spans="1:4" ht="12.75">
      <c r="A961" s="5" t="s">
        <v>1962</v>
      </c>
      <c r="B961" s="4" t="s">
        <v>500</v>
      </c>
      <c r="C961" s="4">
        <v>0.05</v>
      </c>
      <c r="D961" s="29" t="s">
        <v>482</v>
      </c>
    </row>
    <row r="962" spans="1:4" ht="12.75">
      <c r="A962" s="5" t="s">
        <v>1963</v>
      </c>
      <c r="B962" s="4" t="s">
        <v>465</v>
      </c>
      <c r="C962" s="4">
        <v>3</v>
      </c>
      <c r="D962" s="29" t="s">
        <v>466</v>
      </c>
    </row>
    <row r="963" spans="1:4" ht="12.75">
      <c r="A963" s="5" t="s">
        <v>1964</v>
      </c>
      <c r="B963" s="4" t="s">
        <v>517</v>
      </c>
      <c r="C963" s="4">
        <v>3</v>
      </c>
      <c r="D963" s="29" t="s">
        <v>482</v>
      </c>
    </row>
    <row r="964" spans="1:4" ht="12.75">
      <c r="A964" s="5" t="s">
        <v>1964</v>
      </c>
      <c r="B964" s="4" t="s">
        <v>494</v>
      </c>
      <c r="C964" s="4">
        <v>3</v>
      </c>
      <c r="D964" s="29" t="s">
        <v>482</v>
      </c>
    </row>
    <row r="965" spans="1:4" ht="12.75">
      <c r="A965" s="5" t="s">
        <v>1965</v>
      </c>
      <c r="B965" s="4" t="s">
        <v>517</v>
      </c>
      <c r="C965" s="4">
        <v>0.6</v>
      </c>
      <c r="D965" s="29" t="s">
        <v>482</v>
      </c>
    </row>
    <row r="966" spans="1:4" ht="12.75">
      <c r="A966" s="5" t="s">
        <v>1965</v>
      </c>
      <c r="B966" s="4" t="s">
        <v>494</v>
      </c>
      <c r="C966" s="4">
        <v>0.6</v>
      </c>
      <c r="D966" s="29" t="s">
        <v>482</v>
      </c>
    </row>
    <row r="967" spans="1:4" ht="12.75">
      <c r="A967" s="5" t="s">
        <v>453</v>
      </c>
      <c r="B967" s="4" t="s">
        <v>484</v>
      </c>
      <c r="C967" s="4">
        <v>2</v>
      </c>
      <c r="D967" s="29" t="s">
        <v>482</v>
      </c>
    </row>
    <row r="968" spans="1:4" ht="12.75">
      <c r="A968" s="5" t="s">
        <v>1966</v>
      </c>
      <c r="B968" s="4" t="s">
        <v>465</v>
      </c>
      <c r="C968" s="4">
        <v>0.02</v>
      </c>
      <c r="D968" s="29" t="s">
        <v>466</v>
      </c>
    </row>
    <row r="969" spans="1:4" ht="12.75">
      <c r="A969" s="5" t="s">
        <v>1967</v>
      </c>
      <c r="B969" s="4" t="s">
        <v>465</v>
      </c>
      <c r="C969" s="4">
        <v>0.18</v>
      </c>
      <c r="D969" s="29" t="s">
        <v>466</v>
      </c>
    </row>
    <row r="970" spans="1:4" ht="12.75">
      <c r="A970" s="5" t="s">
        <v>1968</v>
      </c>
      <c r="B970" s="4" t="s">
        <v>465</v>
      </c>
      <c r="C970" s="4">
        <v>0.03</v>
      </c>
      <c r="D970" s="29" t="s">
        <v>466</v>
      </c>
    </row>
    <row r="971" spans="1:4" ht="12.75">
      <c r="A971" s="5" t="s">
        <v>1969</v>
      </c>
      <c r="B971" s="4" t="s">
        <v>465</v>
      </c>
      <c r="C971" s="4">
        <v>1</v>
      </c>
      <c r="D971" s="29" t="s">
        <v>720</v>
      </c>
    </row>
    <row r="972" spans="1:4" ht="12.75">
      <c r="A972" s="5" t="s">
        <v>1970</v>
      </c>
      <c r="B972" s="4" t="s">
        <v>500</v>
      </c>
      <c r="C972" s="4">
        <v>5.5</v>
      </c>
      <c r="D972" s="29" t="s">
        <v>482</v>
      </c>
    </row>
    <row r="973" spans="1:4" ht="12.75">
      <c r="A973" s="5" t="s">
        <v>1971</v>
      </c>
      <c r="B973" s="4" t="s">
        <v>541</v>
      </c>
      <c r="C973" s="4">
        <v>0.9</v>
      </c>
      <c r="D973" s="29" t="s">
        <v>542</v>
      </c>
    </row>
    <row r="974" spans="1:4" ht="12.75">
      <c r="A974" s="5" t="s">
        <v>1972</v>
      </c>
      <c r="B974" s="4" t="s">
        <v>541</v>
      </c>
      <c r="C974" s="4">
        <v>0.5</v>
      </c>
      <c r="D974" s="29" t="s">
        <v>542</v>
      </c>
    </row>
    <row r="975" spans="1:4" ht="12.75">
      <c r="A975" s="5" t="s">
        <v>1973</v>
      </c>
      <c r="B975" s="4" t="s">
        <v>541</v>
      </c>
      <c r="C975" s="4">
        <v>0.65</v>
      </c>
      <c r="D975" s="29" t="s">
        <v>542</v>
      </c>
    </row>
    <row r="976" spans="1:4" ht="12.75">
      <c r="A976" s="5" t="s">
        <v>1974</v>
      </c>
      <c r="B976" s="4" t="s">
        <v>590</v>
      </c>
      <c r="C976" s="4">
        <v>0.05</v>
      </c>
      <c r="D976" s="29" t="s">
        <v>600</v>
      </c>
    </row>
    <row r="977" spans="1:4" ht="12.75">
      <c r="A977" s="5" t="s">
        <v>1975</v>
      </c>
      <c r="B977" s="4" t="s">
        <v>475</v>
      </c>
      <c r="C977" s="4">
        <v>5</v>
      </c>
      <c r="D977" s="29" t="s">
        <v>476</v>
      </c>
    </row>
    <row r="978" spans="1:4" ht="12.75">
      <c r="A978" s="5" t="s">
        <v>1976</v>
      </c>
      <c r="B978" s="4" t="s">
        <v>567</v>
      </c>
      <c r="C978" s="4">
        <v>100</v>
      </c>
      <c r="D978" s="29" t="s">
        <v>482</v>
      </c>
    </row>
    <row r="979" spans="1:4" ht="12.75">
      <c r="A979" s="5" t="s">
        <v>1977</v>
      </c>
      <c r="B979" s="4" t="s">
        <v>475</v>
      </c>
      <c r="C979" s="4">
        <v>100</v>
      </c>
      <c r="D979" s="29" t="s">
        <v>476</v>
      </c>
    </row>
    <row r="980" spans="1:4" ht="12.75">
      <c r="A980" s="5" t="s">
        <v>1978</v>
      </c>
      <c r="B980" s="4" t="s">
        <v>481</v>
      </c>
      <c r="C980" s="4">
        <v>1</v>
      </c>
      <c r="D980" s="29" t="s">
        <v>513</v>
      </c>
    </row>
    <row r="981" spans="1:4" ht="12.75">
      <c r="A981" s="5" t="s">
        <v>1979</v>
      </c>
      <c r="B981" s="4" t="s">
        <v>481</v>
      </c>
      <c r="C981" s="4">
        <v>10</v>
      </c>
      <c r="D981" s="29" t="s">
        <v>513</v>
      </c>
    </row>
    <row r="982" spans="1:4" ht="12.75">
      <c r="A982" s="5" t="s">
        <v>1980</v>
      </c>
      <c r="B982" s="4" t="s">
        <v>541</v>
      </c>
      <c r="C982" s="4">
        <v>0.5</v>
      </c>
      <c r="D982" s="29" t="s">
        <v>542</v>
      </c>
    </row>
    <row r="983" spans="1:4" ht="12.75">
      <c r="A983" s="5" t="s">
        <v>1981</v>
      </c>
      <c r="B983" s="4" t="s">
        <v>644</v>
      </c>
      <c r="C983" s="4">
        <v>0.3</v>
      </c>
      <c r="D983" s="29" t="s">
        <v>482</v>
      </c>
    </row>
    <row r="984" spans="1:4" ht="12.75">
      <c r="A984" s="5" t="s">
        <v>1982</v>
      </c>
      <c r="B984" s="4" t="s">
        <v>500</v>
      </c>
      <c r="C984" s="4">
        <v>4</v>
      </c>
      <c r="D984" s="29" t="s">
        <v>482</v>
      </c>
    </row>
    <row r="985" spans="1:4" ht="12.75">
      <c r="A985" s="5" t="s">
        <v>1983</v>
      </c>
      <c r="B985" s="4" t="s">
        <v>500</v>
      </c>
      <c r="C985" s="4">
        <v>3</v>
      </c>
      <c r="D985" s="29" t="s">
        <v>482</v>
      </c>
    </row>
    <row r="986" spans="1:4" ht="12.75">
      <c r="A986" s="5" t="s">
        <v>1984</v>
      </c>
      <c r="B986" s="4" t="s">
        <v>465</v>
      </c>
      <c r="C986" s="4">
        <v>0.01</v>
      </c>
      <c r="D986" s="29" t="s">
        <v>560</v>
      </c>
    </row>
    <row r="987" spans="1:4" ht="12.75">
      <c r="A987" s="5" t="s">
        <v>1985</v>
      </c>
      <c r="B987" s="4" t="s">
        <v>465</v>
      </c>
      <c r="C987" s="4">
        <v>0.03</v>
      </c>
      <c r="D987" s="29" t="s">
        <v>466</v>
      </c>
    </row>
    <row r="988" spans="1:4" ht="12.75">
      <c r="A988" s="5" t="s">
        <v>1986</v>
      </c>
      <c r="B988" s="4" t="s">
        <v>465</v>
      </c>
      <c r="C988" s="4">
        <v>0.01</v>
      </c>
      <c r="D988" s="29" t="s">
        <v>466</v>
      </c>
    </row>
    <row r="989" spans="1:4" ht="12.75">
      <c r="A989" s="5" t="s">
        <v>1987</v>
      </c>
      <c r="B989" s="4" t="s">
        <v>644</v>
      </c>
      <c r="C989" s="4">
        <v>2</v>
      </c>
      <c r="D989" s="29" t="s">
        <v>482</v>
      </c>
    </row>
    <row r="990" spans="1:4" ht="12.75">
      <c r="A990" s="5" t="s">
        <v>1988</v>
      </c>
      <c r="B990" s="4" t="s">
        <v>481</v>
      </c>
      <c r="C990" s="4">
        <v>0.1</v>
      </c>
      <c r="D990" s="29" t="s">
        <v>513</v>
      </c>
    </row>
    <row r="991" spans="1:4" ht="12.75">
      <c r="A991" s="5" t="s">
        <v>1989</v>
      </c>
      <c r="B991" s="4" t="s">
        <v>465</v>
      </c>
      <c r="C991" s="4">
        <v>0.01</v>
      </c>
      <c r="D991" s="29" t="s">
        <v>466</v>
      </c>
    </row>
    <row r="992" spans="1:4" ht="12.75">
      <c r="A992" s="5" t="s">
        <v>1990</v>
      </c>
      <c r="B992" s="4" t="s">
        <v>465</v>
      </c>
      <c r="C992" s="4">
        <v>0.01</v>
      </c>
      <c r="D992" s="29" t="s">
        <v>560</v>
      </c>
    </row>
    <row r="993" spans="1:4" ht="12.75">
      <c r="A993" s="5" t="s">
        <v>1991</v>
      </c>
      <c r="B993" s="4" t="s">
        <v>541</v>
      </c>
      <c r="C993" s="4">
        <v>0.04</v>
      </c>
      <c r="D993" s="29" t="s">
        <v>542</v>
      </c>
    </row>
    <row r="994" spans="1:4" ht="12.75">
      <c r="A994" s="5" t="s">
        <v>1992</v>
      </c>
      <c r="B994" s="4" t="s">
        <v>494</v>
      </c>
      <c r="C994" s="4">
        <v>0.3</v>
      </c>
      <c r="D994" s="29" t="s">
        <v>482</v>
      </c>
    </row>
    <row r="995" spans="1:4" ht="12.75">
      <c r="A995" s="5" t="s">
        <v>1993</v>
      </c>
      <c r="B995" s="4" t="s">
        <v>590</v>
      </c>
      <c r="C995" s="4">
        <v>2</v>
      </c>
      <c r="D995" s="29" t="s">
        <v>482</v>
      </c>
    </row>
    <row r="996" spans="1:4" ht="12.75">
      <c r="A996" s="5" t="s">
        <v>1994</v>
      </c>
      <c r="B996" s="4" t="s">
        <v>590</v>
      </c>
      <c r="C996" s="4">
        <v>4.5</v>
      </c>
      <c r="D996" s="29" t="s">
        <v>482</v>
      </c>
    </row>
    <row r="997" spans="1:4" ht="12.75">
      <c r="A997" s="5" t="s">
        <v>1995</v>
      </c>
      <c r="B997" s="4" t="s">
        <v>590</v>
      </c>
      <c r="C997" s="4">
        <v>6</v>
      </c>
      <c r="D997" s="29" t="s">
        <v>482</v>
      </c>
    </row>
    <row r="998" spans="1:4" ht="12.75">
      <c r="A998" s="5" t="s">
        <v>1996</v>
      </c>
      <c r="B998" s="4" t="s">
        <v>590</v>
      </c>
      <c r="C998" s="4">
        <v>1.2</v>
      </c>
      <c r="D998" s="29" t="s">
        <v>482</v>
      </c>
    </row>
    <row r="999" spans="1:4" ht="12.75">
      <c r="A999" s="5" t="s">
        <v>1997</v>
      </c>
      <c r="B999" s="4" t="s">
        <v>590</v>
      </c>
      <c r="C999" s="4">
        <v>1.1</v>
      </c>
      <c r="D999" s="29" t="s">
        <v>482</v>
      </c>
    </row>
    <row r="1000" spans="1:4" ht="12.75">
      <c r="A1000" s="5" t="s">
        <v>1998</v>
      </c>
      <c r="B1000" s="4" t="s">
        <v>590</v>
      </c>
      <c r="C1000" s="4">
        <v>2</v>
      </c>
      <c r="D1000" s="29" t="s">
        <v>482</v>
      </c>
    </row>
    <row r="1001" spans="1:4" ht="12.75">
      <c r="A1001" s="5" t="s">
        <v>1999</v>
      </c>
      <c r="B1001" s="4" t="s">
        <v>590</v>
      </c>
      <c r="C1001" s="4">
        <v>1.1</v>
      </c>
      <c r="D1001" s="29" t="s">
        <v>482</v>
      </c>
    </row>
    <row r="1002" spans="1:4" ht="12.75">
      <c r="A1002" s="5" t="s">
        <v>2000</v>
      </c>
      <c r="B1002" s="4" t="s">
        <v>590</v>
      </c>
      <c r="C1002" s="4">
        <v>1.4</v>
      </c>
      <c r="D1002" s="29" t="s">
        <v>482</v>
      </c>
    </row>
    <row r="1003" spans="1:4" ht="12.75">
      <c r="A1003" s="5" t="s">
        <v>2001</v>
      </c>
      <c r="B1003" s="4" t="s">
        <v>590</v>
      </c>
      <c r="C1003" s="4">
        <v>3.5</v>
      </c>
      <c r="D1003" s="29" t="s">
        <v>482</v>
      </c>
    </row>
    <row r="1004" spans="1:4" ht="12.75">
      <c r="A1004" s="5" t="s">
        <v>2002</v>
      </c>
      <c r="B1004" s="4" t="s">
        <v>590</v>
      </c>
      <c r="C1004" s="4">
        <v>1.7</v>
      </c>
      <c r="D1004" s="29" t="s">
        <v>482</v>
      </c>
    </row>
    <row r="1005" spans="1:4" ht="12.75">
      <c r="A1005" s="5" t="s">
        <v>2003</v>
      </c>
      <c r="B1005" s="4" t="s">
        <v>590</v>
      </c>
      <c r="C1005" s="4">
        <v>4</v>
      </c>
      <c r="D1005" s="29" t="s">
        <v>482</v>
      </c>
    </row>
    <row r="1006" spans="1:4" ht="12.75">
      <c r="A1006" s="5" t="s">
        <v>2004</v>
      </c>
      <c r="B1006" s="4" t="s">
        <v>590</v>
      </c>
      <c r="C1006" s="4">
        <v>1</v>
      </c>
      <c r="D1006" s="29" t="s">
        <v>482</v>
      </c>
    </row>
    <row r="1007" spans="1:4" ht="12.75">
      <c r="A1007" s="5" t="s">
        <v>2005</v>
      </c>
      <c r="B1007" s="4" t="s">
        <v>590</v>
      </c>
      <c r="C1007" s="4">
        <v>2.5</v>
      </c>
      <c r="D1007" s="29" t="s">
        <v>482</v>
      </c>
    </row>
    <row r="1008" spans="1:4" ht="12.75">
      <c r="A1008" s="5" t="s">
        <v>2006</v>
      </c>
      <c r="B1008" s="4" t="s">
        <v>517</v>
      </c>
      <c r="C1008" s="4">
        <v>30</v>
      </c>
      <c r="D1008" s="29" t="s">
        <v>482</v>
      </c>
    </row>
    <row r="1009" spans="1:4" ht="12.75">
      <c r="A1009" s="5" t="s">
        <v>2007</v>
      </c>
      <c r="B1009" s="4" t="s">
        <v>494</v>
      </c>
      <c r="C1009" s="4">
        <v>14</v>
      </c>
      <c r="D1009" s="29" t="s">
        <v>482</v>
      </c>
    </row>
    <row r="1010" spans="1:4" ht="12.75">
      <c r="A1010" s="5" t="s">
        <v>2008</v>
      </c>
      <c r="B1010" s="4" t="s">
        <v>494</v>
      </c>
      <c r="C1010" s="4">
        <v>0.03</v>
      </c>
      <c r="D1010" s="29" t="s">
        <v>482</v>
      </c>
    </row>
    <row r="1011" spans="1:4" ht="12.75">
      <c r="A1011" s="5" t="s">
        <v>2009</v>
      </c>
      <c r="B1011" s="4" t="s">
        <v>563</v>
      </c>
      <c r="C1011" s="4">
        <v>80</v>
      </c>
      <c r="D1011" s="29" t="s">
        <v>482</v>
      </c>
    </row>
    <row r="1012" spans="1:4" ht="12.75">
      <c r="A1012" s="5" t="s">
        <v>2010</v>
      </c>
      <c r="B1012" s="4" t="s">
        <v>481</v>
      </c>
      <c r="C1012" s="4">
        <v>0.9</v>
      </c>
      <c r="D1012" s="29" t="s">
        <v>513</v>
      </c>
    </row>
    <row r="1013" spans="1:4" ht="12.75">
      <c r="A1013" s="5" t="s">
        <v>2011</v>
      </c>
      <c r="B1013" s="4" t="s">
        <v>481</v>
      </c>
      <c r="C1013" s="4">
        <v>8</v>
      </c>
      <c r="D1013" s="29" t="s">
        <v>513</v>
      </c>
    </row>
    <row r="1014" spans="1:4" ht="12.75">
      <c r="A1014" s="5" t="s">
        <v>2012</v>
      </c>
      <c r="B1014" s="4" t="s">
        <v>563</v>
      </c>
      <c r="C1014" s="4">
        <v>7</v>
      </c>
      <c r="D1014" s="29" t="s">
        <v>482</v>
      </c>
    </row>
    <row r="1015" spans="1:4" ht="12.75">
      <c r="A1015" s="5" t="s">
        <v>2013</v>
      </c>
      <c r="B1015" s="4" t="s">
        <v>500</v>
      </c>
      <c r="C1015" s="4">
        <v>0.07</v>
      </c>
      <c r="D1015" s="29" t="s">
        <v>466</v>
      </c>
    </row>
    <row r="1016" spans="1:4" ht="12.75">
      <c r="A1016" s="5" t="s">
        <v>2014</v>
      </c>
      <c r="B1016" s="4" t="s">
        <v>481</v>
      </c>
      <c r="C1016" s="4">
        <v>0.5</v>
      </c>
      <c r="D1016" s="29" t="s">
        <v>513</v>
      </c>
    </row>
    <row r="1017" spans="1:4" ht="12.75">
      <c r="A1017" s="5" t="s">
        <v>2015</v>
      </c>
      <c r="B1017" s="4" t="s">
        <v>465</v>
      </c>
      <c r="C1017" s="4">
        <v>0.01</v>
      </c>
      <c r="D1017" s="29" t="s">
        <v>466</v>
      </c>
    </row>
    <row r="1018" spans="1:4" ht="12.75">
      <c r="A1018" s="5" t="s">
        <v>2016</v>
      </c>
      <c r="B1018" s="4" t="s">
        <v>494</v>
      </c>
      <c r="C1018" s="4">
        <v>3</v>
      </c>
      <c r="D1018" s="29" t="s">
        <v>482</v>
      </c>
    </row>
    <row r="1019" spans="1:4" ht="12.75">
      <c r="A1019" s="5" t="s">
        <v>2017</v>
      </c>
      <c r="B1019" s="4" t="s">
        <v>644</v>
      </c>
      <c r="C1019" s="4">
        <v>150</v>
      </c>
      <c r="D1019" s="29" t="s">
        <v>482</v>
      </c>
    </row>
    <row r="1020" spans="1:4" ht="12.75">
      <c r="A1020" s="5" t="s">
        <v>2018</v>
      </c>
      <c r="B1020" s="4" t="s">
        <v>644</v>
      </c>
      <c r="C1020" s="4">
        <v>225</v>
      </c>
      <c r="D1020" s="29" t="s">
        <v>482</v>
      </c>
    </row>
    <row r="1021" spans="1:4" ht="12.75">
      <c r="A1021" s="5" t="s">
        <v>2019</v>
      </c>
      <c r="B1021" s="4" t="s">
        <v>644</v>
      </c>
      <c r="C1021" s="4">
        <v>500</v>
      </c>
      <c r="D1021" s="29" t="s">
        <v>482</v>
      </c>
    </row>
    <row r="1022" spans="1:4" ht="12.75">
      <c r="A1022" s="5" t="s">
        <v>2020</v>
      </c>
      <c r="B1022" s="4" t="s">
        <v>517</v>
      </c>
      <c r="C1022" s="4">
        <v>10</v>
      </c>
      <c r="D1022" s="29" t="s">
        <v>469</v>
      </c>
    </row>
    <row r="1023" spans="1:4" ht="12.75">
      <c r="A1023" s="5" t="s">
        <v>2021</v>
      </c>
      <c r="B1023" s="4" t="s">
        <v>517</v>
      </c>
      <c r="C1023" s="4">
        <v>50</v>
      </c>
      <c r="D1023" s="29" t="s">
        <v>469</v>
      </c>
    </row>
    <row r="1024" spans="1:4" ht="12.75">
      <c r="A1024" s="5" t="s">
        <v>2022</v>
      </c>
      <c r="B1024" s="4" t="s">
        <v>468</v>
      </c>
      <c r="C1024" s="4">
        <v>1</v>
      </c>
      <c r="D1024" s="29" t="s">
        <v>469</v>
      </c>
    </row>
    <row r="1025" spans="1:4" ht="12.75">
      <c r="A1025" s="5" t="s">
        <v>2023</v>
      </c>
      <c r="B1025" s="4" t="s">
        <v>468</v>
      </c>
      <c r="C1025" s="4">
        <v>2</v>
      </c>
      <c r="D1025" s="29" t="s">
        <v>469</v>
      </c>
    </row>
    <row r="1026" spans="1:4" ht="12.75">
      <c r="A1026" s="5" t="s">
        <v>2024</v>
      </c>
      <c r="B1026" s="4" t="s">
        <v>468</v>
      </c>
      <c r="C1026" s="4">
        <v>5</v>
      </c>
      <c r="D1026" s="29" t="s">
        <v>469</v>
      </c>
    </row>
    <row r="1027" spans="1:4" ht="12.75">
      <c r="A1027" s="5" t="s">
        <v>2025</v>
      </c>
      <c r="B1027" s="4" t="s">
        <v>517</v>
      </c>
      <c r="C1027" s="4">
        <v>10</v>
      </c>
      <c r="D1027" s="29" t="s">
        <v>482</v>
      </c>
    </row>
    <row r="1028" spans="1:4" ht="12.75">
      <c r="A1028" s="5" t="s">
        <v>2026</v>
      </c>
      <c r="B1028" s="4" t="s">
        <v>517</v>
      </c>
      <c r="C1028" s="4">
        <v>8</v>
      </c>
      <c r="D1028" s="29" t="s">
        <v>600</v>
      </c>
    </row>
    <row r="1029" spans="1:4" ht="12.75">
      <c r="A1029" s="5" t="s">
        <v>2027</v>
      </c>
      <c r="B1029" s="4" t="s">
        <v>494</v>
      </c>
      <c r="C1029" s="4">
        <v>0.3</v>
      </c>
      <c r="D1029" s="29" t="s">
        <v>482</v>
      </c>
    </row>
    <row r="1030" spans="1:4" ht="12.75">
      <c r="A1030" s="5" t="s">
        <v>2028</v>
      </c>
      <c r="B1030" s="4" t="s">
        <v>494</v>
      </c>
      <c r="C1030" s="4">
        <v>3</v>
      </c>
      <c r="D1030" s="29" t="s">
        <v>482</v>
      </c>
    </row>
    <row r="1031" spans="1:4" ht="12.75">
      <c r="A1031" s="5" t="s">
        <v>2029</v>
      </c>
      <c r="B1031" s="4" t="s">
        <v>484</v>
      </c>
      <c r="C1031" s="4">
        <v>0.02</v>
      </c>
      <c r="D1031" s="29" t="s">
        <v>482</v>
      </c>
    </row>
    <row r="1032" spans="1:4" ht="12.75">
      <c r="A1032" s="5" t="s">
        <v>2030</v>
      </c>
      <c r="B1032" s="4" t="s">
        <v>523</v>
      </c>
      <c r="C1032" s="4">
        <v>0.01</v>
      </c>
      <c r="D1032" s="29" t="s">
        <v>482</v>
      </c>
    </row>
    <row r="1033" spans="1:4" ht="12.75">
      <c r="A1033" s="5" t="s">
        <v>2031</v>
      </c>
      <c r="B1033" s="4" t="s">
        <v>523</v>
      </c>
      <c r="C1033" s="4">
        <v>0.01</v>
      </c>
      <c r="D1033" s="29" t="s">
        <v>482</v>
      </c>
    </row>
    <row r="1034" spans="1:4" ht="12.75">
      <c r="A1034" s="5" t="s">
        <v>2032</v>
      </c>
      <c r="B1034" s="4" t="s">
        <v>481</v>
      </c>
      <c r="C1034" s="4">
        <v>1</v>
      </c>
      <c r="D1034" s="29" t="s">
        <v>513</v>
      </c>
    </row>
    <row r="1035" spans="1:4" ht="12.75">
      <c r="A1035" s="5" t="s">
        <v>2033</v>
      </c>
      <c r="B1035" s="4" t="s">
        <v>517</v>
      </c>
      <c r="C1035" s="4">
        <v>0.65</v>
      </c>
      <c r="D1035" s="29" t="s">
        <v>482</v>
      </c>
    </row>
    <row r="1036" spans="1:4" ht="12.75">
      <c r="A1036" s="5" t="s">
        <v>2034</v>
      </c>
      <c r="B1036" s="4" t="s">
        <v>517</v>
      </c>
      <c r="C1036" s="4">
        <v>60</v>
      </c>
      <c r="D1036" s="29" t="s">
        <v>482</v>
      </c>
    </row>
    <row r="1037" spans="1:4" ht="12.75">
      <c r="A1037" s="5" t="s">
        <v>2035</v>
      </c>
      <c r="B1037" s="4" t="s">
        <v>465</v>
      </c>
      <c r="C1037" s="4">
        <v>0.01</v>
      </c>
      <c r="D1037" s="29" t="s">
        <v>466</v>
      </c>
    </row>
    <row r="1038" spans="1:4" ht="12.75">
      <c r="A1038" s="5" t="s">
        <v>2036</v>
      </c>
      <c r="B1038" s="4" t="s">
        <v>491</v>
      </c>
      <c r="C1038" s="4">
        <v>5</v>
      </c>
      <c r="D1038" s="29" t="s">
        <v>482</v>
      </c>
    </row>
    <row r="1039" spans="1:4" ht="12.75">
      <c r="A1039" s="5" t="s">
        <v>2037</v>
      </c>
      <c r="B1039" s="4" t="s">
        <v>481</v>
      </c>
      <c r="C1039" s="4">
        <v>1</v>
      </c>
      <c r="D1039" s="29" t="s">
        <v>513</v>
      </c>
    </row>
    <row r="1040" spans="1:4" ht="12.75">
      <c r="A1040" s="5" t="s">
        <v>2038</v>
      </c>
      <c r="B1040" s="4" t="s">
        <v>481</v>
      </c>
      <c r="C1040" s="4">
        <v>5</v>
      </c>
      <c r="D1040" s="29" t="s">
        <v>513</v>
      </c>
    </row>
    <row r="1041" spans="1:4" ht="12.75">
      <c r="A1041" s="5" t="s">
        <v>2039</v>
      </c>
      <c r="B1041" s="4" t="s">
        <v>500</v>
      </c>
      <c r="C1041" s="4">
        <v>0.4</v>
      </c>
      <c r="D1041" s="29" t="s">
        <v>482</v>
      </c>
    </row>
    <row r="1042" spans="1:4" ht="12.75">
      <c r="A1042" s="5" t="s">
        <v>2040</v>
      </c>
      <c r="B1042" s="4" t="s">
        <v>494</v>
      </c>
      <c r="C1042" s="4">
        <v>2500</v>
      </c>
      <c r="D1042" s="29" t="s">
        <v>482</v>
      </c>
    </row>
    <row r="1043" spans="1:4" ht="12.75">
      <c r="A1043" s="5" t="s">
        <v>2041</v>
      </c>
      <c r="B1043" s="4" t="s">
        <v>494</v>
      </c>
      <c r="C1043" s="4">
        <v>1</v>
      </c>
      <c r="D1043" s="29" t="s">
        <v>720</v>
      </c>
    </row>
    <row r="1044" spans="1:4" ht="12.75">
      <c r="A1044" s="5" t="s">
        <v>2042</v>
      </c>
      <c r="B1044" s="4" t="s">
        <v>481</v>
      </c>
      <c r="C1044" s="4">
        <v>0.2</v>
      </c>
      <c r="D1044" s="29" t="s">
        <v>513</v>
      </c>
    </row>
    <row r="1045" spans="1:4" ht="12.75">
      <c r="A1045" s="5" t="s">
        <v>2042</v>
      </c>
      <c r="B1045" s="4" t="s">
        <v>481</v>
      </c>
      <c r="C1045" s="4">
        <v>0.1</v>
      </c>
      <c r="D1045" s="29" t="s">
        <v>1680</v>
      </c>
    </row>
    <row r="1046" spans="1:4" ht="12.75">
      <c r="A1046" s="5" t="s">
        <v>2043</v>
      </c>
      <c r="B1046" s="4" t="s">
        <v>481</v>
      </c>
      <c r="C1046" s="4">
        <v>10.5</v>
      </c>
      <c r="D1046" s="29" t="s">
        <v>513</v>
      </c>
    </row>
    <row r="1047" spans="1:4" ht="12.75">
      <c r="A1047" s="5" t="s">
        <v>2044</v>
      </c>
      <c r="B1047" s="4" t="s">
        <v>590</v>
      </c>
      <c r="C1047" s="4">
        <v>4</v>
      </c>
      <c r="D1047" s="29" t="s">
        <v>600</v>
      </c>
    </row>
    <row r="1048" spans="1:4" ht="12.75">
      <c r="A1048" s="5" t="s">
        <v>2045</v>
      </c>
      <c r="B1048" s="4" t="s">
        <v>590</v>
      </c>
      <c r="C1048" s="4">
        <v>10</v>
      </c>
      <c r="D1048" s="29" t="s">
        <v>600</v>
      </c>
    </row>
    <row r="1049" spans="1:4" ht="12.75">
      <c r="A1049" s="5" t="s">
        <v>2046</v>
      </c>
      <c r="B1049" s="4" t="s">
        <v>590</v>
      </c>
      <c r="C1049" s="4">
        <v>3</v>
      </c>
      <c r="D1049" s="29" t="s">
        <v>600</v>
      </c>
    </row>
    <row r="1050" spans="1:4" ht="12.75">
      <c r="A1050" s="5" t="s">
        <v>2047</v>
      </c>
      <c r="B1050" s="4" t="s">
        <v>590</v>
      </c>
      <c r="C1050" s="4">
        <v>8</v>
      </c>
      <c r="D1050" s="29" t="s">
        <v>600</v>
      </c>
    </row>
    <row r="1051" spans="1:4" ht="12.75">
      <c r="A1051" s="5" t="s">
        <v>2048</v>
      </c>
      <c r="B1051" s="4" t="s">
        <v>590</v>
      </c>
      <c r="C1051" s="4">
        <v>6</v>
      </c>
      <c r="D1051" s="29" t="s">
        <v>600</v>
      </c>
    </row>
    <row r="1052" spans="1:4" ht="12.75">
      <c r="A1052" s="5" t="s">
        <v>2049</v>
      </c>
      <c r="B1052" s="4" t="s">
        <v>563</v>
      </c>
      <c r="C1052" s="4">
        <v>120</v>
      </c>
      <c r="D1052" s="29" t="s">
        <v>482</v>
      </c>
    </row>
    <row r="1053" spans="1:4" ht="12.75">
      <c r="A1053" s="5" t="s">
        <v>2050</v>
      </c>
      <c r="B1053" s="4" t="s">
        <v>481</v>
      </c>
      <c r="C1053" s="4">
        <v>1</v>
      </c>
      <c r="D1053" s="29" t="s">
        <v>513</v>
      </c>
    </row>
    <row r="1054" spans="1:4" ht="12.75">
      <c r="A1054" s="5" t="s">
        <v>2051</v>
      </c>
      <c r="B1054" s="4" t="s">
        <v>481</v>
      </c>
      <c r="C1054" s="4">
        <v>5.5</v>
      </c>
      <c r="D1054" s="29" t="s">
        <v>513</v>
      </c>
    </row>
    <row r="1055" spans="1:4" ht="12.75">
      <c r="A1055" s="5" t="s">
        <v>2052</v>
      </c>
      <c r="B1055" s="4" t="s">
        <v>644</v>
      </c>
      <c r="C1055" s="4">
        <v>0.5</v>
      </c>
      <c r="D1055" s="29" t="s">
        <v>482</v>
      </c>
    </row>
    <row r="1056" spans="1:4" ht="12.75">
      <c r="A1056" s="5" t="s">
        <v>2053</v>
      </c>
      <c r="B1056" s="4" t="s">
        <v>465</v>
      </c>
      <c r="C1056" s="4">
        <v>0.05</v>
      </c>
      <c r="D1056" s="29" t="s">
        <v>466</v>
      </c>
    </row>
    <row r="1057" spans="1:4" ht="12.75">
      <c r="A1057" s="5" t="s">
        <v>2054</v>
      </c>
      <c r="B1057" s="4" t="s">
        <v>475</v>
      </c>
      <c r="C1057" s="4">
        <v>100</v>
      </c>
      <c r="D1057" s="29" t="s">
        <v>476</v>
      </c>
    </row>
    <row r="1058" spans="1:4" ht="12.75">
      <c r="A1058" s="5" t="s">
        <v>2055</v>
      </c>
      <c r="B1058" s="4" t="s">
        <v>475</v>
      </c>
      <c r="C1058" s="4">
        <v>500</v>
      </c>
      <c r="D1058" s="29" t="s">
        <v>476</v>
      </c>
    </row>
    <row r="1059" spans="1:4" ht="12.75">
      <c r="A1059" s="5" t="s">
        <v>2109</v>
      </c>
      <c r="B1059" s="4" t="s">
        <v>465</v>
      </c>
      <c r="C1059" s="4">
        <v>0.03</v>
      </c>
      <c r="D1059" s="29" t="s">
        <v>466</v>
      </c>
    </row>
    <row r="1060" spans="1:4" ht="12.75">
      <c r="A1060" s="5" t="s">
        <v>2110</v>
      </c>
      <c r="B1060" s="4" t="s">
        <v>500</v>
      </c>
      <c r="C1060" s="4">
        <v>2</v>
      </c>
      <c r="D1060" s="29" t="s">
        <v>466</v>
      </c>
    </row>
    <row r="1061" spans="1:4" ht="12.75">
      <c r="A1061" s="5" t="s">
        <v>2111</v>
      </c>
      <c r="B1061" s="4" t="s">
        <v>644</v>
      </c>
      <c r="C1061" s="4">
        <v>3</v>
      </c>
      <c r="D1061" s="29" t="s">
        <v>482</v>
      </c>
    </row>
    <row r="1062" spans="1:4" ht="12.75">
      <c r="A1062" s="5" t="s">
        <v>2112</v>
      </c>
      <c r="B1062" s="4" t="s">
        <v>465</v>
      </c>
      <c r="C1062" s="4">
        <v>0.01</v>
      </c>
      <c r="D1062" s="29" t="s">
        <v>466</v>
      </c>
    </row>
    <row r="1063" spans="1:4" ht="12.75">
      <c r="A1063" s="5" t="s">
        <v>2113</v>
      </c>
      <c r="B1063" s="4" t="s">
        <v>481</v>
      </c>
      <c r="C1063" s="4">
        <v>0.2</v>
      </c>
      <c r="D1063" s="29" t="s">
        <v>513</v>
      </c>
    </row>
    <row r="1064" spans="1:4" ht="12.75">
      <c r="A1064" s="5" t="s">
        <v>2114</v>
      </c>
      <c r="B1064" s="4" t="s">
        <v>541</v>
      </c>
      <c r="C1064" s="4">
        <v>0.02</v>
      </c>
      <c r="D1064" s="29" t="s">
        <v>542</v>
      </c>
    </row>
    <row r="1065" spans="1:4" ht="12.75">
      <c r="A1065" s="5" t="s">
        <v>2115</v>
      </c>
      <c r="B1065" s="4" t="s">
        <v>465</v>
      </c>
      <c r="C1065" s="4">
        <v>0.01</v>
      </c>
      <c r="D1065" s="29" t="s">
        <v>466</v>
      </c>
    </row>
    <row r="1066" spans="1:4" ht="12.75">
      <c r="A1066" s="5" t="s">
        <v>2116</v>
      </c>
      <c r="B1066" s="4" t="s">
        <v>484</v>
      </c>
      <c r="C1066" s="4">
        <v>50</v>
      </c>
      <c r="D1066" s="29" t="s">
        <v>482</v>
      </c>
    </row>
    <row r="1067" spans="1:4" ht="12.75">
      <c r="A1067" s="5" t="s">
        <v>2117</v>
      </c>
      <c r="B1067" s="4" t="s">
        <v>484</v>
      </c>
      <c r="C1067" s="4">
        <v>3</v>
      </c>
      <c r="D1067" s="29" t="s">
        <v>482</v>
      </c>
    </row>
    <row r="1068" spans="1:4" ht="12.75">
      <c r="A1068" s="5" t="s">
        <v>2118</v>
      </c>
      <c r="B1068" s="4" t="s">
        <v>484</v>
      </c>
      <c r="C1068" s="4">
        <v>10</v>
      </c>
      <c r="D1068" s="29" t="s">
        <v>482</v>
      </c>
    </row>
    <row r="1069" spans="1:4" ht="12.75">
      <c r="A1069" s="5" t="s">
        <v>2119</v>
      </c>
      <c r="B1069" s="4" t="s">
        <v>484</v>
      </c>
      <c r="C1069" s="4">
        <v>5</v>
      </c>
      <c r="D1069" s="29" t="s">
        <v>482</v>
      </c>
    </row>
    <row r="1070" spans="1:4" ht="12.75">
      <c r="A1070" s="5" t="s">
        <v>2120</v>
      </c>
      <c r="B1070" s="4" t="s">
        <v>500</v>
      </c>
      <c r="C1070" s="4">
        <v>20</v>
      </c>
      <c r="D1070" s="29" t="s">
        <v>482</v>
      </c>
    </row>
    <row r="1071" spans="1:4" ht="12.75">
      <c r="A1071" s="5" t="s">
        <v>2121</v>
      </c>
      <c r="B1071" s="4" t="s">
        <v>500</v>
      </c>
      <c r="C1071" s="4">
        <v>45</v>
      </c>
      <c r="D1071" s="29" t="s">
        <v>482</v>
      </c>
    </row>
    <row r="1072" spans="1:4" ht="12.75">
      <c r="A1072" s="5" t="s">
        <v>2122</v>
      </c>
      <c r="B1072" s="4" t="s">
        <v>500</v>
      </c>
      <c r="C1072" s="4">
        <v>75</v>
      </c>
      <c r="D1072" s="29" t="s">
        <v>482</v>
      </c>
    </row>
    <row r="1073" spans="1:4" ht="12.75">
      <c r="A1073" s="5" t="s">
        <v>2123</v>
      </c>
      <c r="B1073" s="4" t="s">
        <v>541</v>
      </c>
      <c r="C1073" s="4">
        <v>0.05</v>
      </c>
      <c r="D1073" s="29" t="s">
        <v>542</v>
      </c>
    </row>
    <row r="1074" spans="1:4" ht="12.75">
      <c r="A1074" s="5" t="s">
        <v>2124</v>
      </c>
      <c r="B1074" s="4" t="s">
        <v>541</v>
      </c>
      <c r="C1074" s="4">
        <v>1.3</v>
      </c>
      <c r="D1074" s="29" t="s">
        <v>542</v>
      </c>
    </row>
    <row r="1075" spans="1:4" ht="12.75">
      <c r="A1075" s="5" t="s">
        <v>2125</v>
      </c>
      <c r="B1075" s="4" t="s">
        <v>541</v>
      </c>
      <c r="C1075" s="4">
        <v>0.09</v>
      </c>
      <c r="D1075" s="29" t="s">
        <v>542</v>
      </c>
    </row>
    <row r="1076" spans="1:4" ht="12.75">
      <c r="A1076" s="5" t="s">
        <v>2126</v>
      </c>
      <c r="B1076" s="4" t="s">
        <v>541</v>
      </c>
      <c r="C1076" s="4">
        <v>1.2</v>
      </c>
      <c r="D1076" s="29" t="s">
        <v>542</v>
      </c>
    </row>
    <row r="1077" spans="1:4" ht="12.75">
      <c r="A1077" s="5" t="s">
        <v>2127</v>
      </c>
      <c r="B1077" s="4" t="s">
        <v>541</v>
      </c>
      <c r="C1077" s="4">
        <v>0.77</v>
      </c>
      <c r="D1077" s="29" t="s">
        <v>542</v>
      </c>
    </row>
    <row r="1078" spans="1:4" ht="12.75">
      <c r="A1078" s="5" t="s">
        <v>2128</v>
      </c>
      <c r="B1078" s="4" t="s">
        <v>541</v>
      </c>
      <c r="C1078" s="4">
        <v>0.83</v>
      </c>
      <c r="D1078" s="29" t="s">
        <v>542</v>
      </c>
    </row>
    <row r="1079" spans="1:4" ht="12.75">
      <c r="A1079" s="5" t="s">
        <v>2129</v>
      </c>
      <c r="B1079" s="4" t="s">
        <v>500</v>
      </c>
      <c r="C1079" s="4">
        <v>10</v>
      </c>
      <c r="D1079" s="29" t="s">
        <v>1140</v>
      </c>
    </row>
    <row r="1080" spans="1:4" ht="12.75">
      <c r="A1080" s="5" t="s">
        <v>2130</v>
      </c>
      <c r="B1080" s="4" t="s">
        <v>500</v>
      </c>
      <c r="C1080" s="4">
        <v>0.02</v>
      </c>
      <c r="D1080" s="29" t="s">
        <v>466</v>
      </c>
    </row>
    <row r="1081" spans="1:4" ht="12.75">
      <c r="A1081" s="5" t="s">
        <v>2131</v>
      </c>
      <c r="B1081" s="4" t="s">
        <v>500</v>
      </c>
      <c r="C1081" s="4">
        <v>0.5</v>
      </c>
      <c r="D1081" s="29" t="s">
        <v>466</v>
      </c>
    </row>
    <row r="1082" spans="1:4" ht="12.75">
      <c r="A1082" s="5" t="s">
        <v>2132</v>
      </c>
      <c r="B1082" s="4" t="s">
        <v>494</v>
      </c>
      <c r="C1082" s="4">
        <v>20</v>
      </c>
      <c r="D1082" s="29" t="s">
        <v>482</v>
      </c>
    </row>
    <row r="1083" spans="1:4" ht="12.75">
      <c r="A1083" s="5" t="s">
        <v>2133</v>
      </c>
      <c r="B1083" s="4" t="s">
        <v>481</v>
      </c>
      <c r="C1083" s="4">
        <v>0.4</v>
      </c>
      <c r="D1083" s="29" t="s">
        <v>513</v>
      </c>
    </row>
    <row r="1084" spans="1:4" ht="12.75">
      <c r="A1084" s="5" t="s">
        <v>2134</v>
      </c>
      <c r="B1084" s="4" t="s">
        <v>481</v>
      </c>
      <c r="C1084" s="4">
        <v>8</v>
      </c>
      <c r="D1084" s="29" t="s">
        <v>513</v>
      </c>
    </row>
    <row r="1085" spans="1:4" ht="12.75">
      <c r="A1085" s="5" t="s">
        <v>2135</v>
      </c>
      <c r="B1085" s="4" t="s">
        <v>494</v>
      </c>
      <c r="C1085" s="4">
        <v>2</v>
      </c>
      <c r="D1085" s="29" t="s">
        <v>482</v>
      </c>
    </row>
    <row r="1086" spans="1:4" ht="12.75">
      <c r="A1086" s="5" t="s">
        <v>2136</v>
      </c>
      <c r="B1086" s="4" t="s">
        <v>484</v>
      </c>
      <c r="C1086" s="4">
        <v>1</v>
      </c>
      <c r="D1086" s="29" t="s">
        <v>482</v>
      </c>
    </row>
    <row r="1087" spans="1:4" ht="12.75">
      <c r="A1087" s="5" t="s">
        <v>2137</v>
      </c>
      <c r="B1087" s="4" t="s">
        <v>484</v>
      </c>
      <c r="C1087" s="4">
        <v>0.3</v>
      </c>
      <c r="D1087" s="29" t="s">
        <v>482</v>
      </c>
    </row>
    <row r="1088" spans="1:4" ht="12.75">
      <c r="A1088" s="5" t="s">
        <v>433</v>
      </c>
      <c r="B1088" s="4" t="s">
        <v>494</v>
      </c>
      <c r="C1088" s="4">
        <v>0.6</v>
      </c>
      <c r="D1088" s="29" t="s">
        <v>482</v>
      </c>
    </row>
    <row r="1089" spans="1:4" ht="12.75">
      <c r="A1089" s="5" t="s">
        <v>433</v>
      </c>
      <c r="B1089" s="4" t="s">
        <v>484</v>
      </c>
      <c r="C1089" s="4">
        <v>0.6</v>
      </c>
      <c r="D1089" s="29" t="s">
        <v>482</v>
      </c>
    </row>
    <row r="1090" spans="1:4" ht="12.75">
      <c r="A1090" s="5" t="s">
        <v>2138</v>
      </c>
      <c r="B1090" s="4" t="s">
        <v>468</v>
      </c>
      <c r="C1090" s="4">
        <v>0.03</v>
      </c>
      <c r="D1090" s="29" t="s">
        <v>482</v>
      </c>
    </row>
    <row r="1091" spans="1:4" ht="12.75">
      <c r="A1091" s="5" t="s">
        <v>2139</v>
      </c>
      <c r="B1091" s="4" t="s">
        <v>500</v>
      </c>
      <c r="C1091" s="4">
        <v>5</v>
      </c>
      <c r="D1091" s="29" t="s">
        <v>482</v>
      </c>
    </row>
    <row r="1092" spans="1:4" ht="12.75">
      <c r="A1092" s="5" t="s">
        <v>2140</v>
      </c>
      <c r="B1092" s="4" t="s">
        <v>500</v>
      </c>
      <c r="C1092" s="4">
        <v>0.8</v>
      </c>
      <c r="D1092" s="29" t="s">
        <v>482</v>
      </c>
    </row>
    <row r="1093" spans="1:4" ht="12.75">
      <c r="A1093" s="5" t="s">
        <v>2141</v>
      </c>
      <c r="B1093" s="4" t="s">
        <v>479</v>
      </c>
      <c r="C1093" s="4">
        <v>37.5</v>
      </c>
      <c r="D1093" s="29" t="s">
        <v>466</v>
      </c>
    </row>
    <row r="1094" spans="1:4" ht="12.75">
      <c r="A1094" s="5" t="s">
        <v>2142</v>
      </c>
      <c r="B1094" s="4" t="s">
        <v>479</v>
      </c>
      <c r="C1094" s="4">
        <v>10.3</v>
      </c>
      <c r="D1094" s="29" t="s">
        <v>466</v>
      </c>
    </row>
    <row r="1095" spans="1:4" ht="12.75">
      <c r="A1095" s="5" t="s">
        <v>2143</v>
      </c>
      <c r="B1095" s="4" t="s">
        <v>473</v>
      </c>
      <c r="C1095" s="4">
        <v>40</v>
      </c>
      <c r="D1095" s="29" t="s">
        <v>469</v>
      </c>
    </row>
    <row r="1096" spans="1:4" ht="12.75">
      <c r="A1096" s="5" t="s">
        <v>2144</v>
      </c>
      <c r="B1096" s="4" t="s">
        <v>644</v>
      </c>
      <c r="C1096" s="4">
        <v>1</v>
      </c>
      <c r="D1096" s="29" t="s">
        <v>482</v>
      </c>
    </row>
    <row r="1097" spans="1:4" ht="12.75">
      <c r="A1097" s="5" t="s">
        <v>2145</v>
      </c>
      <c r="B1097" s="4" t="s">
        <v>473</v>
      </c>
      <c r="C1097" s="4">
        <v>800</v>
      </c>
      <c r="D1097" s="29" t="s">
        <v>469</v>
      </c>
    </row>
    <row r="1098" spans="1:4" ht="12.75">
      <c r="A1098" s="5" t="s">
        <v>2146</v>
      </c>
      <c r="B1098" s="4" t="s">
        <v>473</v>
      </c>
      <c r="C1098" s="4">
        <v>700</v>
      </c>
      <c r="D1098" s="29" t="s">
        <v>469</v>
      </c>
    </row>
    <row r="1099" spans="1:4" ht="12.75">
      <c r="A1099" s="5" t="s">
        <v>2147</v>
      </c>
      <c r="B1099" s="4" t="s">
        <v>468</v>
      </c>
      <c r="C1099" s="4">
        <v>0.8</v>
      </c>
      <c r="D1099" s="29" t="s">
        <v>482</v>
      </c>
    </row>
    <row r="1100" spans="1:4" ht="12.75">
      <c r="A1100" s="5" t="s">
        <v>2148</v>
      </c>
      <c r="B1100" s="4" t="s">
        <v>473</v>
      </c>
      <c r="C1100" s="4">
        <v>360</v>
      </c>
      <c r="D1100" s="29" t="s">
        <v>469</v>
      </c>
    </row>
    <row r="1101" spans="1:4" ht="12.75">
      <c r="A1101" s="5" t="s">
        <v>2149</v>
      </c>
      <c r="B1101" s="4" t="s">
        <v>475</v>
      </c>
      <c r="C1101" s="4">
        <v>500</v>
      </c>
      <c r="D1101" s="29" t="s">
        <v>476</v>
      </c>
    </row>
    <row r="1102" spans="1:4" ht="12.75">
      <c r="A1102" s="5" t="s">
        <v>2150</v>
      </c>
      <c r="B1102" s="4" t="s">
        <v>494</v>
      </c>
      <c r="C1102" s="4">
        <v>10000</v>
      </c>
      <c r="D1102" s="29" t="s">
        <v>482</v>
      </c>
    </row>
    <row r="1103" spans="1:4" ht="12.75">
      <c r="A1103" s="5" t="s">
        <v>2151</v>
      </c>
      <c r="B1103" s="4" t="s">
        <v>494</v>
      </c>
      <c r="C1103" s="4">
        <v>10</v>
      </c>
      <c r="D1103" s="29" t="s">
        <v>482</v>
      </c>
    </row>
    <row r="1104" spans="1:4" ht="12.75">
      <c r="A1104" s="5" t="s">
        <v>2152</v>
      </c>
      <c r="B1104" s="4" t="s">
        <v>494</v>
      </c>
      <c r="C1104" s="4">
        <v>11</v>
      </c>
      <c r="D1104" s="29" t="s">
        <v>482</v>
      </c>
    </row>
    <row r="1105" spans="1:4" ht="12.75">
      <c r="A1105" s="5" t="s">
        <v>2153</v>
      </c>
      <c r="B1105" s="4" t="s">
        <v>484</v>
      </c>
      <c r="C1105" s="4">
        <v>0.8</v>
      </c>
      <c r="D1105" s="29" t="s">
        <v>482</v>
      </c>
    </row>
    <row r="1106" spans="1:4" ht="12.75">
      <c r="A1106" s="5" t="s">
        <v>2154</v>
      </c>
      <c r="B1106" s="4" t="s">
        <v>500</v>
      </c>
      <c r="C1106" s="4">
        <v>10</v>
      </c>
      <c r="D1106" s="29" t="s">
        <v>482</v>
      </c>
    </row>
    <row r="1107" spans="1:4" ht="12.75">
      <c r="A1107" s="5" t="s">
        <v>2155</v>
      </c>
      <c r="B1107" s="4" t="s">
        <v>481</v>
      </c>
      <c r="C1107" s="4">
        <v>0.1</v>
      </c>
      <c r="D1107" s="29" t="s">
        <v>1346</v>
      </c>
    </row>
    <row r="1108" spans="1:4" ht="12.75">
      <c r="A1108" s="5" t="s">
        <v>2156</v>
      </c>
      <c r="B1108" s="4" t="s">
        <v>481</v>
      </c>
      <c r="C1108" s="4">
        <v>0.6</v>
      </c>
      <c r="D1108" s="29" t="s">
        <v>1346</v>
      </c>
    </row>
    <row r="1109" spans="1:4" ht="12.75">
      <c r="A1109" s="5" t="s">
        <v>2157</v>
      </c>
      <c r="B1109" s="4" t="s">
        <v>465</v>
      </c>
      <c r="C1109" s="4">
        <v>0.03</v>
      </c>
      <c r="D1109" s="29" t="s">
        <v>466</v>
      </c>
    </row>
    <row r="1110" spans="1:4" ht="12.75">
      <c r="A1110" s="5" t="s">
        <v>2158</v>
      </c>
      <c r="B1110" s="4" t="s">
        <v>475</v>
      </c>
      <c r="C1110" s="4">
        <v>10</v>
      </c>
      <c r="D1110" s="29" t="s">
        <v>476</v>
      </c>
    </row>
    <row r="1111" spans="1:4" ht="12.75">
      <c r="A1111" s="5" t="s">
        <v>2159</v>
      </c>
      <c r="B1111" s="4" t="s">
        <v>517</v>
      </c>
      <c r="C1111" s="4">
        <v>12</v>
      </c>
      <c r="D1111" s="29" t="s">
        <v>482</v>
      </c>
    </row>
    <row r="1112" spans="1:4" ht="12.75">
      <c r="A1112" s="5" t="s">
        <v>2160</v>
      </c>
      <c r="B1112" s="4" t="s">
        <v>484</v>
      </c>
      <c r="C1112" s="4">
        <v>0.2</v>
      </c>
      <c r="D1112" s="29" t="s">
        <v>482</v>
      </c>
    </row>
    <row r="1113" spans="1:4" ht="12.75">
      <c r="A1113" s="5" t="s">
        <v>2161</v>
      </c>
      <c r="B1113" s="4" t="s">
        <v>481</v>
      </c>
      <c r="C1113" s="4">
        <v>0.2</v>
      </c>
      <c r="D1113" s="29" t="s">
        <v>1002</v>
      </c>
    </row>
    <row r="1114" spans="1:4" ht="12.75">
      <c r="A1114" s="5" t="s">
        <v>2162</v>
      </c>
      <c r="B1114" s="4" t="s">
        <v>481</v>
      </c>
      <c r="C1114" s="4">
        <v>2</v>
      </c>
      <c r="D1114" s="29" t="s">
        <v>513</v>
      </c>
    </row>
    <row r="1115" spans="1:4" ht="12.75">
      <c r="A1115" s="5" t="s">
        <v>2163</v>
      </c>
      <c r="B1115" s="4" t="s">
        <v>481</v>
      </c>
      <c r="C1115" s="4">
        <v>1</v>
      </c>
      <c r="D1115" s="29" t="s">
        <v>513</v>
      </c>
    </row>
    <row r="1116" spans="1:4" ht="12.75">
      <c r="A1116" s="5" t="s">
        <v>2164</v>
      </c>
      <c r="B1116" s="4" t="s">
        <v>481</v>
      </c>
      <c r="C1116" s="4">
        <v>1.5</v>
      </c>
      <c r="D1116" s="29" t="s">
        <v>513</v>
      </c>
    </row>
    <row r="1117" spans="1:4" ht="12.75">
      <c r="A1117" s="5" t="s">
        <v>2165</v>
      </c>
      <c r="B1117" s="4" t="s">
        <v>481</v>
      </c>
      <c r="C1117" s="4">
        <v>12.5</v>
      </c>
      <c r="D1117" s="29" t="s">
        <v>513</v>
      </c>
    </row>
    <row r="1118" spans="1:4" ht="12.75">
      <c r="A1118" s="5" t="s">
        <v>2166</v>
      </c>
      <c r="B1118" s="4" t="s">
        <v>481</v>
      </c>
      <c r="C1118" s="4">
        <v>1.5</v>
      </c>
      <c r="D1118" s="29" t="s">
        <v>513</v>
      </c>
    </row>
    <row r="1119" spans="1:4" ht="12.75">
      <c r="A1119" s="5" t="s">
        <v>2167</v>
      </c>
      <c r="B1119" s="4" t="s">
        <v>481</v>
      </c>
      <c r="C1119" s="4">
        <v>2</v>
      </c>
      <c r="D1119" s="29" t="s">
        <v>513</v>
      </c>
    </row>
    <row r="1120" spans="1:4" ht="12.75">
      <c r="A1120" s="5" t="s">
        <v>2168</v>
      </c>
      <c r="B1120" s="4" t="s">
        <v>494</v>
      </c>
      <c r="C1120" s="4">
        <v>50</v>
      </c>
      <c r="D1120" s="29" t="s">
        <v>482</v>
      </c>
    </row>
    <row r="1121" spans="1:4" ht="12.75">
      <c r="A1121" s="5" t="s">
        <v>2169</v>
      </c>
      <c r="B1121" s="4" t="s">
        <v>481</v>
      </c>
      <c r="C1121" s="4">
        <v>1.5</v>
      </c>
      <c r="D1121" s="29" t="s">
        <v>513</v>
      </c>
    </row>
    <row r="1122" spans="1:4" ht="12.75">
      <c r="A1122" s="5" t="s">
        <v>2170</v>
      </c>
      <c r="B1122" s="4" t="s">
        <v>481</v>
      </c>
      <c r="C1122" s="4">
        <v>2.5</v>
      </c>
      <c r="D1122" s="29" t="s">
        <v>513</v>
      </c>
    </row>
    <row r="1123" spans="1:4" ht="12.75">
      <c r="A1123" s="5" t="s">
        <v>2171</v>
      </c>
      <c r="B1123" s="4" t="s">
        <v>481</v>
      </c>
      <c r="C1123" s="4">
        <v>1</v>
      </c>
      <c r="D1123" s="29" t="s">
        <v>513</v>
      </c>
    </row>
    <row r="1124" spans="1:4" ht="12.75">
      <c r="A1124" s="5" t="s">
        <v>2172</v>
      </c>
      <c r="B1124" s="4" t="s">
        <v>481</v>
      </c>
      <c r="C1124" s="4">
        <v>12.5</v>
      </c>
      <c r="D1124" s="29" t="s">
        <v>513</v>
      </c>
    </row>
    <row r="1125" spans="1:4" ht="12.75">
      <c r="A1125" s="5" t="s">
        <v>2173</v>
      </c>
      <c r="B1125" s="4" t="s">
        <v>484</v>
      </c>
      <c r="C1125" s="4">
        <v>5</v>
      </c>
      <c r="D1125" s="29" t="s">
        <v>482</v>
      </c>
    </row>
    <row r="1126" spans="1:4" ht="12.75">
      <c r="A1126" s="5" t="s">
        <v>2174</v>
      </c>
      <c r="B1126" s="4" t="s">
        <v>465</v>
      </c>
      <c r="C1126" s="4">
        <v>0.06</v>
      </c>
      <c r="D1126" s="29" t="s">
        <v>466</v>
      </c>
    </row>
    <row r="1127" spans="1:4" ht="12.75">
      <c r="A1127" s="5" t="s">
        <v>2175</v>
      </c>
      <c r="B1127" s="4" t="s">
        <v>500</v>
      </c>
      <c r="C1127" s="4">
        <v>4</v>
      </c>
      <c r="D1127" s="29" t="s">
        <v>600</v>
      </c>
    </row>
    <row r="1128" spans="1:4" ht="12.75">
      <c r="A1128" s="5" t="s">
        <v>2176</v>
      </c>
      <c r="B1128" s="4" t="s">
        <v>523</v>
      </c>
      <c r="C1128" s="4">
        <v>1</v>
      </c>
      <c r="D1128" s="29" t="s">
        <v>482</v>
      </c>
    </row>
    <row r="1129" spans="1:4" ht="12.75">
      <c r="A1129" s="5" t="s">
        <v>2177</v>
      </c>
      <c r="B1129" s="4" t="s">
        <v>523</v>
      </c>
      <c r="C1129" s="4">
        <v>7</v>
      </c>
      <c r="D1129" s="29" t="s">
        <v>482</v>
      </c>
    </row>
    <row r="1130" spans="1:4" ht="12.75">
      <c r="A1130" s="5" t="s">
        <v>2178</v>
      </c>
      <c r="B1130" s="4" t="s">
        <v>481</v>
      </c>
      <c r="C1130" s="4">
        <v>0.3</v>
      </c>
      <c r="D1130" s="29" t="s">
        <v>513</v>
      </c>
    </row>
    <row r="1131" spans="1:4" ht="12.75">
      <c r="A1131" s="5" t="s">
        <v>2179</v>
      </c>
      <c r="B1131" s="4" t="s">
        <v>500</v>
      </c>
      <c r="C1131" s="4">
        <v>0.05</v>
      </c>
      <c r="D1131" s="29" t="s">
        <v>466</v>
      </c>
    </row>
    <row r="1132" spans="1:4" ht="12.75">
      <c r="A1132" s="5" t="s">
        <v>2180</v>
      </c>
      <c r="B1132" s="4" t="s">
        <v>481</v>
      </c>
      <c r="C1132" s="4">
        <v>4</v>
      </c>
      <c r="D1132" s="29" t="s">
        <v>513</v>
      </c>
    </row>
    <row r="1133" spans="1:4" ht="12.75">
      <c r="A1133" s="5" t="s">
        <v>2181</v>
      </c>
      <c r="B1133" s="4" t="s">
        <v>481</v>
      </c>
      <c r="C1133" s="4">
        <v>35</v>
      </c>
      <c r="D1133" s="29" t="s">
        <v>513</v>
      </c>
    </row>
    <row r="1134" spans="1:4" ht="12.75">
      <c r="A1134" s="5" t="s">
        <v>2182</v>
      </c>
      <c r="B1134" s="4" t="s">
        <v>494</v>
      </c>
      <c r="C1134" s="4">
        <v>25</v>
      </c>
      <c r="D1134" s="29" t="s">
        <v>482</v>
      </c>
    </row>
    <row r="1135" spans="1:4" ht="12.75">
      <c r="A1135" s="5" t="s">
        <v>2183</v>
      </c>
      <c r="B1135" s="4" t="s">
        <v>481</v>
      </c>
      <c r="C1135" s="4">
        <v>2</v>
      </c>
      <c r="D1135" s="29" t="s">
        <v>513</v>
      </c>
    </row>
    <row r="1136" spans="1:4" ht="12.75">
      <c r="A1136" s="5" t="s">
        <v>2184</v>
      </c>
      <c r="B1136" s="4" t="s">
        <v>491</v>
      </c>
      <c r="C1136" s="4">
        <v>15</v>
      </c>
      <c r="D1136" s="29" t="s">
        <v>600</v>
      </c>
    </row>
    <row r="1137" spans="1:4" ht="12.75">
      <c r="A1137" s="5" t="s">
        <v>2185</v>
      </c>
      <c r="B1137" s="4" t="s">
        <v>475</v>
      </c>
      <c r="C1137" s="4">
        <v>500</v>
      </c>
      <c r="D1137" s="29" t="s">
        <v>476</v>
      </c>
    </row>
    <row r="1138" spans="1:4" ht="12.75">
      <c r="A1138" s="5" t="s">
        <v>2186</v>
      </c>
      <c r="B1138" s="4" t="s">
        <v>475</v>
      </c>
      <c r="C1138" s="4">
        <v>500</v>
      </c>
      <c r="D1138" s="29" t="s">
        <v>476</v>
      </c>
    </row>
    <row r="1139" spans="1:4" ht="12.75">
      <c r="A1139" s="5" t="s">
        <v>2187</v>
      </c>
      <c r="B1139" s="4" t="s">
        <v>590</v>
      </c>
      <c r="C1139" s="4">
        <v>6</v>
      </c>
      <c r="D1139" s="29" t="s">
        <v>600</v>
      </c>
    </row>
    <row r="1140" spans="1:4" ht="12.75">
      <c r="A1140" s="5" t="s">
        <v>2188</v>
      </c>
      <c r="B1140" s="4" t="s">
        <v>590</v>
      </c>
      <c r="C1140" s="4">
        <v>15</v>
      </c>
      <c r="D1140" s="29" t="s">
        <v>600</v>
      </c>
    </row>
    <row r="1141" spans="1:4" ht="12.75">
      <c r="A1141" s="5" t="s">
        <v>2189</v>
      </c>
      <c r="B1141" s="4" t="s">
        <v>590</v>
      </c>
      <c r="C1141" s="4">
        <v>4.5</v>
      </c>
      <c r="D1141" s="29" t="s">
        <v>600</v>
      </c>
    </row>
    <row r="1142" spans="1:4" ht="12.75">
      <c r="A1142" s="5" t="s">
        <v>2190</v>
      </c>
      <c r="B1142" s="4" t="s">
        <v>590</v>
      </c>
      <c r="C1142" s="4">
        <v>12</v>
      </c>
      <c r="D1142" s="29" t="s">
        <v>600</v>
      </c>
    </row>
    <row r="1143" spans="1:4" ht="12.75">
      <c r="A1143" s="5" t="s">
        <v>2201</v>
      </c>
      <c r="B1143" s="4" t="s">
        <v>590</v>
      </c>
      <c r="C1143" s="4">
        <v>9</v>
      </c>
      <c r="D1143" s="29" t="s">
        <v>600</v>
      </c>
    </row>
    <row r="1144" spans="1:4" ht="12.75">
      <c r="A1144" s="5" t="s">
        <v>2202</v>
      </c>
      <c r="B1144" s="4" t="s">
        <v>500</v>
      </c>
      <c r="C1144" s="4">
        <v>5</v>
      </c>
      <c r="D1144" s="29" t="s">
        <v>482</v>
      </c>
    </row>
    <row r="1145" spans="1:4" ht="12.75">
      <c r="A1145" s="5" t="s">
        <v>2203</v>
      </c>
      <c r="B1145" s="4" t="s">
        <v>644</v>
      </c>
      <c r="C1145" s="4">
        <v>20</v>
      </c>
      <c r="D1145" s="29" t="s">
        <v>482</v>
      </c>
    </row>
    <row r="1146" spans="1:4" ht="12.75">
      <c r="A1146" s="5" t="s">
        <v>2204</v>
      </c>
      <c r="B1146" s="4" t="s">
        <v>484</v>
      </c>
      <c r="C1146" s="4">
        <v>0.6</v>
      </c>
      <c r="D1146" s="29" t="s">
        <v>482</v>
      </c>
    </row>
    <row r="1147" spans="1:4" ht="12.75">
      <c r="A1147" s="5" t="s">
        <v>2205</v>
      </c>
      <c r="B1147" s="4" t="s">
        <v>494</v>
      </c>
      <c r="C1147" s="4">
        <v>10000</v>
      </c>
      <c r="D1147" s="29" t="s">
        <v>482</v>
      </c>
    </row>
    <row r="1148" spans="1:4" ht="12.75">
      <c r="A1148" s="5" t="s">
        <v>2206</v>
      </c>
      <c r="B1148" s="4" t="s">
        <v>465</v>
      </c>
      <c r="C1148" s="4">
        <v>0.01</v>
      </c>
      <c r="D1148" s="29" t="s">
        <v>466</v>
      </c>
    </row>
    <row r="1149" spans="1:4" ht="12.75">
      <c r="A1149" s="5" t="s">
        <v>2207</v>
      </c>
      <c r="B1149" s="4" t="s">
        <v>517</v>
      </c>
      <c r="C1149" s="4">
        <v>25</v>
      </c>
      <c r="D1149" s="29" t="s">
        <v>482</v>
      </c>
    </row>
    <row r="1150" spans="1:4" ht="12.75">
      <c r="A1150" s="5" t="s">
        <v>2208</v>
      </c>
      <c r="B1150" s="4" t="s">
        <v>465</v>
      </c>
      <c r="C1150" s="4">
        <v>0.01</v>
      </c>
      <c r="D1150" s="29" t="s">
        <v>466</v>
      </c>
    </row>
    <row r="1151" spans="1:4" ht="12.75">
      <c r="A1151" s="5" t="s">
        <v>329</v>
      </c>
      <c r="B1151" s="4" t="s">
        <v>484</v>
      </c>
      <c r="C1151" s="4">
        <v>5</v>
      </c>
      <c r="D1151" s="29" t="s">
        <v>482</v>
      </c>
    </row>
    <row r="1152" spans="1:4" ht="12.75">
      <c r="A1152" s="5" t="s">
        <v>2209</v>
      </c>
      <c r="B1152" s="4" t="s">
        <v>484</v>
      </c>
      <c r="C1152" s="4">
        <v>8</v>
      </c>
      <c r="D1152" s="29" t="s">
        <v>482</v>
      </c>
    </row>
    <row r="1153" spans="1:4" ht="12.75">
      <c r="A1153" s="5" t="s">
        <v>2210</v>
      </c>
      <c r="B1153" s="4" t="s">
        <v>484</v>
      </c>
      <c r="C1153" s="4">
        <v>7</v>
      </c>
      <c r="D1153" s="29" t="s">
        <v>482</v>
      </c>
    </row>
    <row r="1154" spans="1:4" ht="12.75">
      <c r="A1154" s="5" t="s">
        <v>2211</v>
      </c>
      <c r="B1154" s="4" t="s">
        <v>484</v>
      </c>
      <c r="C1154" s="4">
        <v>8</v>
      </c>
      <c r="D1154" s="29" t="s">
        <v>482</v>
      </c>
    </row>
    <row r="1155" spans="1:4" ht="12.75">
      <c r="A1155" s="5" t="s">
        <v>2212</v>
      </c>
      <c r="B1155" s="4" t="s">
        <v>484</v>
      </c>
      <c r="C1155" s="4">
        <v>5</v>
      </c>
      <c r="D1155" s="29" t="s">
        <v>482</v>
      </c>
    </row>
    <row r="1156" spans="1:4" ht="12.75">
      <c r="A1156" s="5" t="s">
        <v>2213</v>
      </c>
      <c r="B1156" s="4" t="s">
        <v>567</v>
      </c>
      <c r="C1156" s="4">
        <v>500</v>
      </c>
      <c r="D1156" s="29" t="s">
        <v>482</v>
      </c>
    </row>
    <row r="1157" spans="1:4" ht="12.75">
      <c r="A1157" s="5" t="s">
        <v>2214</v>
      </c>
      <c r="B1157" s="4" t="s">
        <v>517</v>
      </c>
      <c r="C1157" s="4">
        <v>0.12</v>
      </c>
      <c r="D1157" s="29" t="s">
        <v>2215</v>
      </c>
    </row>
    <row r="1158" spans="1:4" ht="12.75">
      <c r="A1158" s="5" t="s">
        <v>2216</v>
      </c>
      <c r="B1158" s="4" t="s">
        <v>590</v>
      </c>
      <c r="C1158" s="4">
        <v>1.3</v>
      </c>
      <c r="D1158" s="29" t="s">
        <v>600</v>
      </c>
    </row>
    <row r="1159" spans="1:4" ht="12.75">
      <c r="A1159" s="5" t="s">
        <v>2217</v>
      </c>
      <c r="B1159" s="4" t="s">
        <v>590</v>
      </c>
      <c r="C1159" s="4">
        <v>0.05</v>
      </c>
      <c r="D1159" s="29" t="s">
        <v>600</v>
      </c>
    </row>
    <row r="1160" spans="1:4" ht="12.75">
      <c r="A1160" s="5" t="s">
        <v>2218</v>
      </c>
      <c r="B1160" s="4" t="s">
        <v>590</v>
      </c>
      <c r="C1160" s="4">
        <v>0.02</v>
      </c>
      <c r="D1160" s="29" t="s">
        <v>600</v>
      </c>
    </row>
    <row r="1161" spans="1:4" ht="12.75">
      <c r="A1161" s="5" t="s">
        <v>2219</v>
      </c>
      <c r="B1161" s="4" t="s">
        <v>590</v>
      </c>
      <c r="C1161" s="4">
        <v>0.28</v>
      </c>
      <c r="D1161" s="29" t="s">
        <v>600</v>
      </c>
    </row>
    <row r="1162" spans="1:4" ht="12.75">
      <c r="A1162" s="5" t="s">
        <v>2220</v>
      </c>
      <c r="B1162" s="4" t="s">
        <v>590</v>
      </c>
      <c r="C1162" s="4">
        <v>0.63</v>
      </c>
      <c r="D1162" s="29" t="s">
        <v>600</v>
      </c>
    </row>
    <row r="1163" spans="1:4" ht="12.75">
      <c r="A1163" s="5" t="s">
        <v>2221</v>
      </c>
      <c r="B1163" s="4" t="s">
        <v>590</v>
      </c>
      <c r="C1163" s="4">
        <v>0.53</v>
      </c>
      <c r="D1163" s="29" t="s">
        <v>600</v>
      </c>
    </row>
    <row r="1164" spans="1:4" ht="12.75">
      <c r="A1164" s="5" t="s">
        <v>2222</v>
      </c>
      <c r="B1164" s="4" t="s">
        <v>590</v>
      </c>
      <c r="C1164" s="4">
        <v>0.01</v>
      </c>
      <c r="D1164" s="29" t="s">
        <v>600</v>
      </c>
    </row>
    <row r="1165" spans="1:4" ht="12.75">
      <c r="A1165" s="5" t="s">
        <v>2223</v>
      </c>
      <c r="B1165" s="4" t="s">
        <v>481</v>
      </c>
      <c r="C1165" s="4">
        <v>0.7</v>
      </c>
      <c r="D1165" s="29" t="s">
        <v>513</v>
      </c>
    </row>
    <row r="1166" spans="1:4" ht="12.75">
      <c r="A1166" s="5" t="s">
        <v>2224</v>
      </c>
      <c r="B1166" s="4" t="s">
        <v>481</v>
      </c>
      <c r="C1166" s="4">
        <v>6</v>
      </c>
      <c r="D1166" s="29" t="s">
        <v>513</v>
      </c>
    </row>
    <row r="1167" spans="1:4" ht="12.75">
      <c r="A1167" s="5" t="s">
        <v>2225</v>
      </c>
      <c r="B1167" s="4" t="s">
        <v>473</v>
      </c>
      <c r="C1167" s="4">
        <v>20</v>
      </c>
      <c r="D1167" s="29" t="s">
        <v>469</v>
      </c>
    </row>
    <row r="1168" spans="1:4" ht="12.75">
      <c r="A1168" s="5" t="s">
        <v>2226</v>
      </c>
      <c r="B1168" s="4" t="s">
        <v>465</v>
      </c>
      <c r="C1168" s="4">
        <v>0.05</v>
      </c>
      <c r="D1168" s="29" t="s">
        <v>466</v>
      </c>
    </row>
    <row r="1169" spans="1:4" ht="12.75">
      <c r="A1169" s="5" t="s">
        <v>2227</v>
      </c>
      <c r="B1169" s="4" t="s">
        <v>465</v>
      </c>
      <c r="C1169" s="4">
        <v>0.25</v>
      </c>
      <c r="D1169" s="29" t="s">
        <v>466</v>
      </c>
    </row>
    <row r="1170" spans="1:4" ht="12.75">
      <c r="A1170" s="5" t="s">
        <v>2228</v>
      </c>
      <c r="B1170" s="4" t="s">
        <v>500</v>
      </c>
      <c r="C1170" s="4">
        <v>5.5</v>
      </c>
      <c r="D1170" s="29" t="s">
        <v>466</v>
      </c>
    </row>
    <row r="1171" spans="1:4" ht="12.75">
      <c r="A1171" s="5" t="s">
        <v>2229</v>
      </c>
      <c r="B1171" s="4" t="s">
        <v>541</v>
      </c>
      <c r="C1171" s="4">
        <v>0.5</v>
      </c>
      <c r="D1171" s="29" t="s">
        <v>542</v>
      </c>
    </row>
    <row r="1172" spans="1:4" ht="12.75">
      <c r="A1172" s="5" t="s">
        <v>2230</v>
      </c>
      <c r="B1172" s="4" t="s">
        <v>486</v>
      </c>
      <c r="C1172" s="4">
        <v>0.06</v>
      </c>
      <c r="D1172" s="29" t="s">
        <v>487</v>
      </c>
    </row>
    <row r="1173" spans="1:4" ht="12.75">
      <c r="A1173" s="5" t="s">
        <v>2231</v>
      </c>
      <c r="B1173" s="4" t="s">
        <v>473</v>
      </c>
      <c r="C1173" s="4">
        <v>2200</v>
      </c>
      <c r="D1173" s="29" t="s">
        <v>469</v>
      </c>
    </row>
    <row r="1174" spans="1:4" ht="12.75">
      <c r="A1174" s="5" t="s">
        <v>2232</v>
      </c>
      <c r="B1174" s="4" t="s">
        <v>563</v>
      </c>
      <c r="C1174" s="4">
        <v>1</v>
      </c>
      <c r="D1174" s="29" t="s">
        <v>482</v>
      </c>
    </row>
    <row r="1175" spans="1:4" ht="12.75">
      <c r="A1175" s="5" t="s">
        <v>2233</v>
      </c>
      <c r="B1175" s="4" t="s">
        <v>517</v>
      </c>
      <c r="C1175" s="4">
        <v>15</v>
      </c>
      <c r="D1175" s="29" t="s">
        <v>600</v>
      </c>
    </row>
    <row r="1176" spans="1:4" ht="12.75">
      <c r="A1176" s="5" t="s">
        <v>2234</v>
      </c>
      <c r="B1176" s="4" t="s">
        <v>644</v>
      </c>
      <c r="C1176" s="4">
        <v>0.01</v>
      </c>
      <c r="D1176" s="29" t="s">
        <v>482</v>
      </c>
    </row>
    <row r="1177" spans="1:4" ht="12.75">
      <c r="A1177" s="5" t="s">
        <v>2235</v>
      </c>
      <c r="B1177" s="4" t="s">
        <v>473</v>
      </c>
      <c r="C1177" s="4">
        <v>270</v>
      </c>
      <c r="D1177" s="29" t="s">
        <v>469</v>
      </c>
    </row>
    <row r="1178" spans="1:4" ht="12.75">
      <c r="A1178" s="5" t="s">
        <v>2236</v>
      </c>
      <c r="B1178" s="4" t="s">
        <v>465</v>
      </c>
      <c r="C1178" s="4">
        <v>0.3</v>
      </c>
      <c r="D1178" s="29" t="s">
        <v>466</v>
      </c>
    </row>
    <row r="1179" spans="1:4" ht="12.75">
      <c r="A1179" s="5" t="s">
        <v>2237</v>
      </c>
      <c r="B1179" s="4" t="s">
        <v>465</v>
      </c>
      <c r="C1179" s="4">
        <v>1.6</v>
      </c>
      <c r="D1179" s="29" t="s">
        <v>466</v>
      </c>
    </row>
    <row r="1180" spans="1:4" ht="12.75">
      <c r="A1180" s="5" t="s">
        <v>2238</v>
      </c>
      <c r="B1180" s="4" t="s">
        <v>465</v>
      </c>
      <c r="C1180" s="4">
        <v>2.8</v>
      </c>
      <c r="D1180" s="29" t="s">
        <v>466</v>
      </c>
    </row>
    <row r="1181" spans="1:4" ht="12.75">
      <c r="A1181" s="5" t="s">
        <v>2239</v>
      </c>
      <c r="B1181" s="4" t="s">
        <v>465</v>
      </c>
      <c r="C1181" s="4">
        <v>0.8</v>
      </c>
      <c r="D1181" s="29" t="s">
        <v>466</v>
      </c>
    </row>
    <row r="1182" spans="1:4" ht="12.75">
      <c r="A1182" s="5" t="s">
        <v>2240</v>
      </c>
      <c r="B1182" s="4" t="s">
        <v>500</v>
      </c>
      <c r="C1182" s="4">
        <v>0.05</v>
      </c>
      <c r="D1182" s="29" t="s">
        <v>466</v>
      </c>
    </row>
    <row r="1183" spans="1:4" ht="12.75">
      <c r="A1183" s="5" t="s">
        <v>2241</v>
      </c>
      <c r="B1183" s="4" t="s">
        <v>500</v>
      </c>
      <c r="C1183" s="4">
        <v>15</v>
      </c>
      <c r="D1183" s="29" t="s">
        <v>482</v>
      </c>
    </row>
    <row r="1184" spans="1:4" ht="12.75">
      <c r="A1184" s="5" t="s">
        <v>2242</v>
      </c>
      <c r="B1184" s="4" t="s">
        <v>500</v>
      </c>
      <c r="C1184" s="4">
        <v>0.4</v>
      </c>
      <c r="D1184" s="29" t="s">
        <v>482</v>
      </c>
    </row>
    <row r="1185" spans="1:4" ht="12.75">
      <c r="A1185" s="5" t="s">
        <v>2243</v>
      </c>
      <c r="B1185" s="4" t="s">
        <v>500</v>
      </c>
      <c r="C1185" s="4">
        <v>0.5</v>
      </c>
      <c r="D1185" s="29" t="s">
        <v>482</v>
      </c>
    </row>
    <row r="1186" spans="1:4" ht="12.75">
      <c r="A1186" s="5" t="s">
        <v>2244</v>
      </c>
      <c r="B1186" s="4" t="s">
        <v>500</v>
      </c>
      <c r="C1186" s="4">
        <v>3</v>
      </c>
      <c r="D1186" s="29" t="s">
        <v>482</v>
      </c>
    </row>
    <row r="1187" spans="1:4" ht="12.75">
      <c r="A1187" s="5" t="s">
        <v>2245</v>
      </c>
      <c r="B1187" s="4" t="s">
        <v>500</v>
      </c>
      <c r="C1187" s="4">
        <v>7</v>
      </c>
      <c r="D1187" s="29" t="s">
        <v>482</v>
      </c>
    </row>
    <row r="1188" spans="1:4" ht="12.75">
      <c r="A1188" s="5" t="s">
        <v>2246</v>
      </c>
      <c r="B1188" s="4" t="s">
        <v>500</v>
      </c>
      <c r="C1188" s="4">
        <v>0.8</v>
      </c>
      <c r="D1188" s="29" t="s">
        <v>482</v>
      </c>
    </row>
    <row r="1189" spans="1:4" ht="12.75">
      <c r="A1189" s="5" t="s">
        <v>2247</v>
      </c>
      <c r="B1189" s="4" t="s">
        <v>473</v>
      </c>
      <c r="C1189" s="4">
        <v>20</v>
      </c>
      <c r="D1189" s="29" t="s">
        <v>469</v>
      </c>
    </row>
    <row r="1190" spans="1:4" ht="12.75">
      <c r="A1190" s="5" t="s">
        <v>2248</v>
      </c>
      <c r="B1190" s="4" t="s">
        <v>484</v>
      </c>
      <c r="C1190" s="4">
        <v>2</v>
      </c>
      <c r="D1190" s="29" t="s">
        <v>482</v>
      </c>
    </row>
    <row r="1191" spans="1:4" ht="12.75">
      <c r="A1191" s="5" t="s">
        <v>2249</v>
      </c>
      <c r="B1191" s="4" t="s">
        <v>465</v>
      </c>
      <c r="C1191" s="4">
        <v>0.01</v>
      </c>
      <c r="D1191" s="29" t="s">
        <v>466</v>
      </c>
    </row>
    <row r="1192" spans="1:4" ht="12.75">
      <c r="A1192" s="5" t="s">
        <v>2250</v>
      </c>
      <c r="B1192" s="4" t="s">
        <v>473</v>
      </c>
      <c r="C1192" s="4">
        <v>1</v>
      </c>
      <c r="D1192" s="29" t="s">
        <v>469</v>
      </c>
    </row>
    <row r="1193" spans="1:4" ht="12.75">
      <c r="A1193" s="5" t="s">
        <v>2251</v>
      </c>
      <c r="B1193" s="4" t="s">
        <v>517</v>
      </c>
      <c r="C1193" s="4">
        <v>0.2</v>
      </c>
      <c r="D1193" s="29" t="s">
        <v>469</v>
      </c>
    </row>
    <row r="1194" spans="1:4" ht="12.75">
      <c r="A1194" s="5" t="s">
        <v>2252</v>
      </c>
      <c r="B1194" s="4" t="s">
        <v>491</v>
      </c>
      <c r="C1194" s="4">
        <v>1</v>
      </c>
      <c r="D1194" s="29" t="s">
        <v>482</v>
      </c>
    </row>
    <row r="1195" spans="1:4" ht="12.75">
      <c r="A1195" s="5" t="s">
        <v>2253</v>
      </c>
      <c r="B1195" s="4" t="s">
        <v>475</v>
      </c>
      <c r="C1195" s="4">
        <v>1</v>
      </c>
      <c r="D1195" s="29" t="s">
        <v>476</v>
      </c>
    </row>
    <row r="1196" spans="1:4" ht="12.75">
      <c r="A1196" s="5" t="s">
        <v>2254</v>
      </c>
      <c r="B1196" s="4" t="s">
        <v>541</v>
      </c>
      <c r="C1196" s="4">
        <v>12.2</v>
      </c>
      <c r="D1196" s="29" t="s">
        <v>542</v>
      </c>
    </row>
    <row r="1197" spans="1:4" ht="12.75">
      <c r="A1197" s="5" t="s">
        <v>2255</v>
      </c>
      <c r="B1197" s="4" t="s">
        <v>500</v>
      </c>
      <c r="C1197" s="4">
        <v>0.8</v>
      </c>
      <c r="D1197" s="29" t="s">
        <v>560</v>
      </c>
    </row>
    <row r="1198" spans="1:4" ht="12.75">
      <c r="A1198" s="5" t="s">
        <v>2256</v>
      </c>
      <c r="B1198" s="4" t="s">
        <v>481</v>
      </c>
      <c r="C1198" s="4">
        <v>3</v>
      </c>
      <c r="D1198" s="29" t="s">
        <v>513</v>
      </c>
    </row>
    <row r="1199" spans="1:4" ht="12.75">
      <c r="A1199" s="5" t="s">
        <v>2257</v>
      </c>
      <c r="B1199" s="4" t="s">
        <v>481</v>
      </c>
      <c r="C1199" s="4">
        <v>35</v>
      </c>
      <c r="D1199" s="29" t="s">
        <v>513</v>
      </c>
    </row>
    <row r="1200" spans="1:4" ht="12.75">
      <c r="A1200" s="5" t="s">
        <v>2258</v>
      </c>
      <c r="B1200" s="4" t="s">
        <v>590</v>
      </c>
      <c r="C1200" s="4">
        <v>1</v>
      </c>
      <c r="D1200" s="29" t="s">
        <v>482</v>
      </c>
    </row>
    <row r="1201" spans="1:4" ht="12.75">
      <c r="A1201" s="5" t="s">
        <v>2259</v>
      </c>
      <c r="B1201" s="4" t="s">
        <v>590</v>
      </c>
      <c r="C1201" s="4">
        <v>2.7</v>
      </c>
      <c r="D1201" s="29" t="s">
        <v>482</v>
      </c>
    </row>
    <row r="1202" spans="1:4" ht="12.75">
      <c r="A1202" s="5" t="s">
        <v>2260</v>
      </c>
      <c r="B1202" s="4" t="s">
        <v>590</v>
      </c>
      <c r="C1202" s="4">
        <v>3</v>
      </c>
      <c r="D1202" s="29" t="s">
        <v>482</v>
      </c>
    </row>
    <row r="1203" spans="1:4" ht="12.75">
      <c r="A1203" s="5" t="s">
        <v>2261</v>
      </c>
      <c r="B1203" s="4" t="s">
        <v>590</v>
      </c>
      <c r="C1203" s="4">
        <v>0.6</v>
      </c>
      <c r="D1203" s="29" t="s">
        <v>482</v>
      </c>
    </row>
    <row r="1204" spans="1:4" ht="12.75">
      <c r="A1204" s="5" t="s">
        <v>2262</v>
      </c>
      <c r="B1204" s="4" t="s">
        <v>590</v>
      </c>
      <c r="C1204" s="4">
        <v>0.4</v>
      </c>
      <c r="D1204" s="29" t="s">
        <v>482</v>
      </c>
    </row>
    <row r="1205" spans="1:4" ht="12.75">
      <c r="A1205" s="5" t="s">
        <v>2263</v>
      </c>
      <c r="B1205" s="4" t="s">
        <v>590</v>
      </c>
      <c r="C1205" s="4">
        <v>1</v>
      </c>
      <c r="D1205" s="29" t="s">
        <v>482</v>
      </c>
    </row>
    <row r="1206" spans="1:4" ht="12.75">
      <c r="A1206" s="5" t="s">
        <v>2264</v>
      </c>
      <c r="B1206" s="4" t="s">
        <v>590</v>
      </c>
      <c r="C1206" s="4">
        <v>0.3</v>
      </c>
      <c r="D1206" s="29" t="s">
        <v>482</v>
      </c>
    </row>
    <row r="1207" spans="1:4" ht="12.75">
      <c r="A1207" s="5" t="s">
        <v>2265</v>
      </c>
      <c r="B1207" s="4" t="s">
        <v>590</v>
      </c>
      <c r="C1207" s="4">
        <v>0.8</v>
      </c>
      <c r="D1207" s="29" t="s">
        <v>482</v>
      </c>
    </row>
    <row r="1208" spans="1:4" ht="12.75">
      <c r="A1208" s="5" t="s">
        <v>2266</v>
      </c>
      <c r="B1208" s="4" t="s">
        <v>590</v>
      </c>
      <c r="C1208" s="4">
        <v>1.7</v>
      </c>
      <c r="D1208" s="29" t="s">
        <v>482</v>
      </c>
    </row>
    <row r="1209" spans="1:4" ht="12.75">
      <c r="A1209" s="5" t="s">
        <v>2267</v>
      </c>
      <c r="B1209" s="4" t="s">
        <v>590</v>
      </c>
      <c r="C1209" s="4">
        <v>0.9</v>
      </c>
      <c r="D1209" s="29" t="s">
        <v>482</v>
      </c>
    </row>
    <row r="1210" spans="1:4" ht="12.75">
      <c r="A1210" s="5" t="s">
        <v>2268</v>
      </c>
      <c r="B1210" s="4" t="s">
        <v>590</v>
      </c>
      <c r="C1210" s="4">
        <v>2.2</v>
      </c>
      <c r="D1210" s="29" t="s">
        <v>482</v>
      </c>
    </row>
    <row r="1211" spans="1:4" ht="12.75">
      <c r="A1211" s="5" t="s">
        <v>2269</v>
      </c>
      <c r="B1211" s="4" t="s">
        <v>590</v>
      </c>
      <c r="C1211" s="4">
        <v>0.5</v>
      </c>
      <c r="D1211" s="29" t="s">
        <v>482</v>
      </c>
    </row>
    <row r="1212" spans="1:4" ht="12.75">
      <c r="A1212" s="5" t="s">
        <v>2270</v>
      </c>
      <c r="B1212" s="4" t="s">
        <v>590</v>
      </c>
      <c r="C1212" s="4">
        <v>1.6</v>
      </c>
      <c r="D1212" s="29" t="s">
        <v>482</v>
      </c>
    </row>
    <row r="1213" spans="1:4" ht="12.75">
      <c r="A1213" s="5" t="s">
        <v>2271</v>
      </c>
      <c r="B1213" s="4" t="s">
        <v>500</v>
      </c>
      <c r="C1213" s="4">
        <v>2</v>
      </c>
      <c r="D1213" s="29" t="s">
        <v>482</v>
      </c>
    </row>
    <row r="1214" spans="1:4" ht="12.75">
      <c r="A1214" s="5" t="s">
        <v>2272</v>
      </c>
      <c r="B1214" s="4" t="s">
        <v>481</v>
      </c>
      <c r="C1214" s="4">
        <v>2</v>
      </c>
      <c r="D1214" s="29" t="s">
        <v>513</v>
      </c>
    </row>
    <row r="1215" spans="1:4" ht="12.75">
      <c r="A1215" s="5" t="s">
        <v>2273</v>
      </c>
      <c r="B1215" s="4" t="s">
        <v>481</v>
      </c>
      <c r="C1215" s="4">
        <v>23</v>
      </c>
      <c r="D1215" s="29" t="s">
        <v>513</v>
      </c>
    </row>
    <row r="1216" spans="1:4" ht="12.75">
      <c r="A1216" s="5" t="s">
        <v>2274</v>
      </c>
      <c r="B1216" s="4" t="s">
        <v>494</v>
      </c>
      <c r="C1216" s="4">
        <v>5</v>
      </c>
      <c r="D1216" s="29" t="s">
        <v>482</v>
      </c>
    </row>
    <row r="1217" spans="1:4" ht="12.75">
      <c r="A1217" s="5" t="s">
        <v>2275</v>
      </c>
      <c r="B1217" s="4" t="s">
        <v>563</v>
      </c>
      <c r="C1217" s="4">
        <v>30</v>
      </c>
      <c r="D1217" s="29" t="s">
        <v>482</v>
      </c>
    </row>
    <row r="1218" spans="1:4" ht="12.75">
      <c r="A1218" s="5" t="s">
        <v>2276</v>
      </c>
      <c r="B1218" s="4" t="s">
        <v>465</v>
      </c>
      <c r="C1218" s="4">
        <v>0.01</v>
      </c>
      <c r="D1218" s="29" t="s">
        <v>560</v>
      </c>
    </row>
    <row r="1219" spans="1:4" ht="12.75">
      <c r="A1219" s="5" t="s">
        <v>2277</v>
      </c>
      <c r="B1219" s="4" t="s">
        <v>517</v>
      </c>
      <c r="C1219" s="4">
        <v>5</v>
      </c>
      <c r="D1219" s="29" t="s">
        <v>560</v>
      </c>
    </row>
    <row r="1220" spans="1:4" ht="12.75">
      <c r="A1220" s="5" t="s">
        <v>2278</v>
      </c>
      <c r="B1220" s="4" t="s">
        <v>500</v>
      </c>
      <c r="C1220" s="4">
        <v>0.3</v>
      </c>
      <c r="D1220" s="29" t="s">
        <v>482</v>
      </c>
    </row>
    <row r="1221" spans="1:4" ht="12.75">
      <c r="A1221" s="5" t="s">
        <v>2279</v>
      </c>
      <c r="B1221" s="4" t="s">
        <v>500</v>
      </c>
      <c r="C1221" s="4">
        <v>0.5</v>
      </c>
      <c r="D1221" s="29" t="s">
        <v>482</v>
      </c>
    </row>
    <row r="1222" spans="1:4" ht="12.75">
      <c r="A1222" s="5" t="s">
        <v>2280</v>
      </c>
      <c r="B1222" s="4" t="s">
        <v>500</v>
      </c>
      <c r="C1222" s="4">
        <v>2</v>
      </c>
      <c r="D1222" s="29" t="s">
        <v>482</v>
      </c>
    </row>
    <row r="1223" spans="1:4" ht="12.75">
      <c r="A1223" s="5" t="s">
        <v>2281</v>
      </c>
      <c r="B1223" s="4" t="s">
        <v>500</v>
      </c>
      <c r="C1223" s="4">
        <v>6</v>
      </c>
      <c r="D1223" s="29" t="s">
        <v>482</v>
      </c>
    </row>
    <row r="1224" spans="1:4" ht="12.75">
      <c r="A1224" s="5" t="s">
        <v>2282</v>
      </c>
      <c r="B1224" s="4" t="s">
        <v>500</v>
      </c>
      <c r="C1224" s="4">
        <v>4</v>
      </c>
      <c r="D1224" s="29" t="s">
        <v>482</v>
      </c>
    </row>
    <row r="1225" spans="1:4" ht="12.75">
      <c r="A1225" s="5" t="s">
        <v>2283</v>
      </c>
      <c r="B1225" s="4" t="s">
        <v>465</v>
      </c>
      <c r="C1225" s="4">
        <v>10</v>
      </c>
      <c r="D1225" s="29" t="s">
        <v>2284</v>
      </c>
    </row>
    <row r="1226" spans="1:4" ht="12.75">
      <c r="A1226" s="5" t="s">
        <v>2285</v>
      </c>
      <c r="B1226" s="4" t="s">
        <v>465</v>
      </c>
      <c r="C1226" s="4">
        <v>0.06</v>
      </c>
      <c r="D1226" s="29" t="s">
        <v>466</v>
      </c>
    </row>
    <row r="1227" spans="1:4" ht="12.75">
      <c r="A1227" s="5" t="s">
        <v>2286</v>
      </c>
      <c r="B1227" s="4" t="s">
        <v>541</v>
      </c>
      <c r="C1227" s="4">
        <v>0.01</v>
      </c>
      <c r="D1227" s="29" t="s">
        <v>542</v>
      </c>
    </row>
    <row r="1228" spans="1:4" ht="12.75">
      <c r="A1228" s="5" t="s">
        <v>2287</v>
      </c>
      <c r="B1228" s="4" t="s">
        <v>541</v>
      </c>
      <c r="C1228" s="4">
        <v>0.12</v>
      </c>
      <c r="D1228" s="29" t="s">
        <v>542</v>
      </c>
    </row>
    <row r="1229" spans="1:4" ht="12.75">
      <c r="A1229" s="5" t="s">
        <v>2288</v>
      </c>
      <c r="B1229" s="4" t="s">
        <v>541</v>
      </c>
      <c r="C1229" s="4">
        <v>0.03</v>
      </c>
      <c r="D1229" s="29" t="s">
        <v>542</v>
      </c>
    </row>
    <row r="1230" spans="1:4" ht="12.75">
      <c r="A1230" s="5" t="s">
        <v>2289</v>
      </c>
      <c r="B1230" s="4" t="s">
        <v>541</v>
      </c>
      <c r="C1230" s="4">
        <v>0.05</v>
      </c>
      <c r="D1230" s="29" t="s">
        <v>542</v>
      </c>
    </row>
    <row r="1231" spans="1:4" ht="12.75">
      <c r="A1231" s="5" t="s">
        <v>2290</v>
      </c>
      <c r="B1231" s="4" t="s">
        <v>481</v>
      </c>
      <c r="C1231" s="4">
        <v>0.8</v>
      </c>
      <c r="D1231" s="29" t="s">
        <v>513</v>
      </c>
    </row>
    <row r="1232" spans="1:4" ht="12.75">
      <c r="A1232" s="5" t="s">
        <v>2291</v>
      </c>
      <c r="B1232" s="4" t="s">
        <v>481</v>
      </c>
      <c r="C1232" s="4">
        <v>12.5</v>
      </c>
      <c r="D1232" s="29" t="s">
        <v>513</v>
      </c>
    </row>
    <row r="1233" spans="1:4" ht="12.75">
      <c r="A1233" s="5" t="s">
        <v>2292</v>
      </c>
      <c r="B1233" s="4" t="s">
        <v>590</v>
      </c>
      <c r="C1233" s="4">
        <v>1.3</v>
      </c>
      <c r="D1233" s="29" t="s">
        <v>482</v>
      </c>
    </row>
    <row r="1234" spans="1:4" ht="12.75">
      <c r="A1234" s="5" t="s">
        <v>2293</v>
      </c>
      <c r="B1234" s="4" t="s">
        <v>590</v>
      </c>
      <c r="C1234" s="4">
        <v>4.8</v>
      </c>
      <c r="D1234" s="29" t="s">
        <v>482</v>
      </c>
    </row>
    <row r="1235" spans="1:4" ht="12.75">
      <c r="A1235" s="5" t="s">
        <v>2294</v>
      </c>
      <c r="B1235" s="4" t="s">
        <v>590</v>
      </c>
      <c r="C1235" s="4">
        <v>3.6</v>
      </c>
      <c r="D1235" s="29" t="s">
        <v>482</v>
      </c>
    </row>
    <row r="1236" spans="1:4" ht="12.75">
      <c r="A1236" s="5" t="s">
        <v>2295</v>
      </c>
      <c r="B1236" s="4" t="s">
        <v>590</v>
      </c>
      <c r="C1236" s="4">
        <v>1.1</v>
      </c>
      <c r="D1236" s="29" t="s">
        <v>482</v>
      </c>
    </row>
    <row r="1237" spans="1:4" ht="12.75">
      <c r="A1237" s="5" t="s">
        <v>2296</v>
      </c>
      <c r="B1237" s="4" t="s">
        <v>590</v>
      </c>
      <c r="C1237" s="4">
        <v>1.2</v>
      </c>
      <c r="D1237" s="29" t="s">
        <v>482</v>
      </c>
    </row>
    <row r="1238" spans="1:4" ht="12.75">
      <c r="A1238" s="5" t="s">
        <v>2297</v>
      </c>
      <c r="B1238" s="4" t="s">
        <v>590</v>
      </c>
      <c r="C1238" s="4">
        <v>2.1</v>
      </c>
      <c r="D1238" s="29" t="s">
        <v>482</v>
      </c>
    </row>
    <row r="1239" spans="1:4" ht="12.75">
      <c r="A1239" s="5" t="s">
        <v>2298</v>
      </c>
      <c r="B1239" s="4" t="s">
        <v>590</v>
      </c>
      <c r="C1239" s="4">
        <v>1.2</v>
      </c>
      <c r="D1239" s="29" t="s">
        <v>482</v>
      </c>
    </row>
    <row r="1240" spans="1:4" ht="12.75">
      <c r="A1240" s="5" t="s">
        <v>2299</v>
      </c>
      <c r="B1240" s="4" t="s">
        <v>590</v>
      </c>
      <c r="C1240" s="4">
        <v>1.4</v>
      </c>
      <c r="D1240" s="29" t="s">
        <v>482</v>
      </c>
    </row>
    <row r="1241" spans="1:4" ht="12.75">
      <c r="A1241" s="5" t="s">
        <v>2300</v>
      </c>
      <c r="B1241" s="4" t="s">
        <v>590</v>
      </c>
      <c r="C1241" s="4">
        <v>3.2</v>
      </c>
      <c r="D1241" s="29" t="s">
        <v>482</v>
      </c>
    </row>
    <row r="1242" spans="1:4" ht="12.75">
      <c r="A1242" s="5" t="s">
        <v>2301</v>
      </c>
      <c r="B1242" s="4" t="s">
        <v>590</v>
      </c>
      <c r="C1242" s="4">
        <v>2</v>
      </c>
      <c r="D1242" s="29" t="s">
        <v>482</v>
      </c>
    </row>
    <row r="1243" spans="1:4" ht="12.75">
      <c r="A1243" s="5" t="s">
        <v>2302</v>
      </c>
      <c r="B1243" s="4" t="s">
        <v>590</v>
      </c>
      <c r="C1243" s="4">
        <v>3.9</v>
      </c>
      <c r="D1243" s="29" t="s">
        <v>482</v>
      </c>
    </row>
    <row r="1244" spans="1:4" ht="12.75">
      <c r="A1244" s="5" t="s">
        <v>2303</v>
      </c>
      <c r="B1244" s="4" t="s">
        <v>590</v>
      </c>
      <c r="C1244" s="4">
        <v>1</v>
      </c>
      <c r="D1244" s="29" t="s">
        <v>482</v>
      </c>
    </row>
    <row r="1245" spans="1:4" ht="12.75">
      <c r="A1245" s="5" t="s">
        <v>2304</v>
      </c>
      <c r="B1245" s="4" t="s">
        <v>590</v>
      </c>
      <c r="C1245" s="4">
        <v>2.7</v>
      </c>
      <c r="D1245" s="29" t="s">
        <v>482</v>
      </c>
    </row>
    <row r="1246" spans="1:4" ht="12.75">
      <c r="A1246" s="5" t="s">
        <v>2305</v>
      </c>
      <c r="B1246" s="4" t="s">
        <v>475</v>
      </c>
      <c r="C1246" s="4">
        <v>1</v>
      </c>
      <c r="D1246" s="29" t="s">
        <v>476</v>
      </c>
    </row>
    <row r="1247" spans="1:4" ht="12.75">
      <c r="A1247" s="5" t="s">
        <v>2306</v>
      </c>
      <c r="B1247" s="4" t="s">
        <v>475</v>
      </c>
      <c r="C1247" s="4">
        <v>10</v>
      </c>
      <c r="D1247" s="29" t="s">
        <v>476</v>
      </c>
    </row>
    <row r="1248" spans="1:4" ht="12.75">
      <c r="A1248" s="5" t="s">
        <v>2307</v>
      </c>
      <c r="B1248" s="4" t="s">
        <v>500</v>
      </c>
      <c r="C1248" s="4">
        <v>0.03</v>
      </c>
      <c r="D1248" s="29" t="s">
        <v>560</v>
      </c>
    </row>
    <row r="1249" spans="1:4" ht="12.75">
      <c r="A1249" s="5" t="s">
        <v>2308</v>
      </c>
      <c r="B1249" s="4" t="s">
        <v>481</v>
      </c>
      <c r="C1249" s="4">
        <v>12</v>
      </c>
      <c r="D1249" s="29" t="s">
        <v>513</v>
      </c>
    </row>
    <row r="1250" spans="1:4" ht="12.75">
      <c r="A1250" s="5" t="s">
        <v>2309</v>
      </c>
      <c r="B1250" s="4" t="s">
        <v>494</v>
      </c>
      <c r="C1250" s="4">
        <v>250</v>
      </c>
      <c r="D1250" s="29" t="s">
        <v>482</v>
      </c>
    </row>
    <row r="1251" spans="1:4" ht="12.75">
      <c r="A1251" s="5" t="s">
        <v>2310</v>
      </c>
      <c r="B1251" s="4" t="s">
        <v>590</v>
      </c>
      <c r="C1251" s="4">
        <v>65</v>
      </c>
      <c r="D1251" s="29" t="s">
        <v>482</v>
      </c>
    </row>
    <row r="1252" spans="1:4" ht="12.75">
      <c r="A1252" s="5" t="s">
        <v>2311</v>
      </c>
      <c r="B1252" s="4" t="s">
        <v>590</v>
      </c>
      <c r="C1252" s="4">
        <v>45</v>
      </c>
      <c r="D1252" s="29" t="s">
        <v>482</v>
      </c>
    </row>
    <row r="1253" spans="1:4" ht="12.75">
      <c r="A1253" s="5" t="s">
        <v>2312</v>
      </c>
      <c r="B1253" s="4" t="s">
        <v>590</v>
      </c>
      <c r="C1253" s="4">
        <v>6</v>
      </c>
      <c r="D1253" s="29" t="s">
        <v>482</v>
      </c>
    </row>
    <row r="1254" spans="1:4" ht="12.75">
      <c r="A1254" s="5" t="s">
        <v>2313</v>
      </c>
      <c r="B1254" s="4" t="s">
        <v>590</v>
      </c>
      <c r="C1254" s="4">
        <v>15</v>
      </c>
      <c r="D1254" s="29" t="s">
        <v>482</v>
      </c>
    </row>
    <row r="1255" spans="1:4" ht="12.75">
      <c r="A1255" s="5" t="s">
        <v>2314</v>
      </c>
      <c r="B1255" s="4" t="s">
        <v>590</v>
      </c>
      <c r="C1255" s="4">
        <v>11</v>
      </c>
      <c r="D1255" s="29" t="s">
        <v>482</v>
      </c>
    </row>
    <row r="1256" spans="1:4" ht="12.75">
      <c r="A1256" s="5" t="s">
        <v>2315</v>
      </c>
      <c r="B1256" s="4" t="s">
        <v>590</v>
      </c>
      <c r="C1256" s="4">
        <v>12</v>
      </c>
      <c r="D1256" s="29" t="s">
        <v>482</v>
      </c>
    </row>
    <row r="1257" spans="1:4" ht="12.75">
      <c r="A1257" s="5" t="s">
        <v>2316</v>
      </c>
      <c r="B1257" s="4" t="s">
        <v>590</v>
      </c>
      <c r="C1257" s="4">
        <v>24</v>
      </c>
      <c r="D1257" s="29" t="s">
        <v>482</v>
      </c>
    </row>
    <row r="1258" spans="1:4" ht="12.75">
      <c r="A1258" s="5" t="s">
        <v>2317</v>
      </c>
      <c r="B1258" s="4" t="s">
        <v>590</v>
      </c>
      <c r="C1258" s="4">
        <v>8</v>
      </c>
      <c r="D1258" s="29" t="s">
        <v>482</v>
      </c>
    </row>
    <row r="1259" spans="1:4" ht="12.75">
      <c r="A1259" s="5" t="s">
        <v>2318</v>
      </c>
      <c r="B1259" s="4" t="s">
        <v>590</v>
      </c>
      <c r="C1259" s="4">
        <v>19</v>
      </c>
      <c r="D1259" s="29" t="s">
        <v>482</v>
      </c>
    </row>
    <row r="1260" spans="1:4" ht="12.75">
      <c r="A1260" s="5" t="s">
        <v>2319</v>
      </c>
      <c r="B1260" s="4" t="s">
        <v>473</v>
      </c>
      <c r="C1260" s="4">
        <v>30</v>
      </c>
      <c r="D1260" s="29" t="s">
        <v>469</v>
      </c>
    </row>
    <row r="1261" spans="1:4" ht="12.75">
      <c r="A1261" s="5" t="s">
        <v>2320</v>
      </c>
      <c r="B1261" s="4" t="s">
        <v>473</v>
      </c>
      <c r="C1261" s="4">
        <v>120</v>
      </c>
      <c r="D1261" s="29" t="s">
        <v>469</v>
      </c>
    </row>
    <row r="1262" spans="1:4" ht="12.75">
      <c r="A1262" s="5" t="s">
        <v>2321</v>
      </c>
      <c r="B1262" s="4" t="s">
        <v>465</v>
      </c>
      <c r="C1262" s="4">
        <v>5.25</v>
      </c>
      <c r="D1262" s="29" t="s">
        <v>466</v>
      </c>
    </row>
    <row r="1263" spans="1:4" ht="12.75">
      <c r="A1263" s="5" t="s">
        <v>2322</v>
      </c>
      <c r="B1263" s="4" t="s">
        <v>468</v>
      </c>
      <c r="C1263" s="4">
        <v>0.4</v>
      </c>
      <c r="D1263" s="29" t="s">
        <v>482</v>
      </c>
    </row>
    <row r="1264" spans="1:4" ht="12.75">
      <c r="A1264" s="5" t="s">
        <v>2323</v>
      </c>
      <c r="B1264" s="4" t="s">
        <v>468</v>
      </c>
      <c r="C1264" s="4">
        <v>1.3</v>
      </c>
      <c r="D1264" s="29" t="s">
        <v>542</v>
      </c>
    </row>
    <row r="1265" spans="1:4" ht="12.75">
      <c r="A1265" s="5" t="s">
        <v>2324</v>
      </c>
      <c r="B1265" s="4" t="s">
        <v>468</v>
      </c>
      <c r="C1265" s="4">
        <v>1</v>
      </c>
      <c r="D1265" s="29" t="s">
        <v>542</v>
      </c>
    </row>
    <row r="1266" spans="1:4" ht="12.75">
      <c r="A1266" s="5" t="s">
        <v>2325</v>
      </c>
      <c r="B1266" s="4" t="s">
        <v>500</v>
      </c>
      <c r="C1266" s="4">
        <v>100</v>
      </c>
      <c r="D1266" s="29" t="s">
        <v>482</v>
      </c>
    </row>
    <row r="1267" spans="1:4" ht="12.75">
      <c r="A1267" s="5" t="s">
        <v>2326</v>
      </c>
      <c r="B1267" s="4" t="s">
        <v>473</v>
      </c>
      <c r="C1267" s="4">
        <v>12</v>
      </c>
      <c r="D1267" s="29" t="s">
        <v>469</v>
      </c>
    </row>
    <row r="1268" spans="1:4" ht="12.75">
      <c r="A1268" s="5" t="s">
        <v>2327</v>
      </c>
      <c r="B1268" s="4" t="s">
        <v>481</v>
      </c>
      <c r="C1268" s="4">
        <v>0.5</v>
      </c>
      <c r="D1268" s="29" t="s">
        <v>513</v>
      </c>
    </row>
    <row r="1269" spans="1:4" ht="12.75">
      <c r="A1269" s="5" t="s">
        <v>2328</v>
      </c>
      <c r="B1269" s="4" t="s">
        <v>481</v>
      </c>
      <c r="C1269" s="4">
        <v>1</v>
      </c>
      <c r="D1269" s="29" t="s">
        <v>513</v>
      </c>
    </row>
    <row r="1270" spans="1:4" ht="12.75">
      <c r="A1270" s="5" t="s">
        <v>2329</v>
      </c>
      <c r="B1270" s="4" t="s">
        <v>481</v>
      </c>
      <c r="C1270" s="4">
        <v>1.5</v>
      </c>
      <c r="D1270" s="29" t="s">
        <v>513</v>
      </c>
    </row>
    <row r="1271" spans="1:4" ht="12.75">
      <c r="A1271" s="5" t="s">
        <v>2330</v>
      </c>
      <c r="B1271" s="4" t="s">
        <v>481</v>
      </c>
      <c r="C1271" s="4">
        <v>12</v>
      </c>
      <c r="D1271" s="29" t="s">
        <v>513</v>
      </c>
    </row>
    <row r="1272" spans="1:4" ht="12.75">
      <c r="A1272" s="5" t="s">
        <v>2331</v>
      </c>
      <c r="B1272" s="4" t="s">
        <v>500</v>
      </c>
      <c r="C1272" s="4">
        <v>0.1</v>
      </c>
      <c r="D1272" s="29" t="s">
        <v>466</v>
      </c>
    </row>
    <row r="1273" spans="1:4" ht="12.75">
      <c r="A1273" s="5" t="s">
        <v>2332</v>
      </c>
      <c r="B1273" s="4" t="s">
        <v>517</v>
      </c>
      <c r="C1273" s="4">
        <v>0.3</v>
      </c>
      <c r="D1273" s="29" t="s">
        <v>482</v>
      </c>
    </row>
    <row r="1274" spans="1:4" ht="12.75">
      <c r="A1274" s="5" t="s">
        <v>2333</v>
      </c>
      <c r="B1274" s="4" t="s">
        <v>563</v>
      </c>
      <c r="C1274" s="4">
        <v>0.6</v>
      </c>
      <c r="D1274" s="29" t="s">
        <v>482</v>
      </c>
    </row>
    <row r="1275" spans="1:4" ht="12.75">
      <c r="A1275" s="5" t="s">
        <v>2334</v>
      </c>
      <c r="B1275" s="4" t="s">
        <v>567</v>
      </c>
      <c r="C1275" s="4">
        <v>200</v>
      </c>
      <c r="D1275" s="29" t="s">
        <v>482</v>
      </c>
    </row>
    <row r="1276" spans="1:4" ht="12.75">
      <c r="A1276" s="5" t="s">
        <v>2335</v>
      </c>
      <c r="B1276" s="4" t="s">
        <v>567</v>
      </c>
      <c r="C1276" s="4">
        <v>2</v>
      </c>
      <c r="D1276" s="29" t="s">
        <v>482</v>
      </c>
    </row>
    <row r="1277" spans="1:4" ht="12.75">
      <c r="A1277" s="5" t="s">
        <v>2336</v>
      </c>
      <c r="B1277" s="4" t="s">
        <v>567</v>
      </c>
      <c r="C1277" s="4">
        <v>5</v>
      </c>
      <c r="D1277" s="29" t="s">
        <v>482</v>
      </c>
    </row>
    <row r="1278" spans="1:4" ht="12.75">
      <c r="A1278" s="5" t="s">
        <v>438</v>
      </c>
      <c r="B1278" s="4" t="s">
        <v>484</v>
      </c>
      <c r="C1278" s="4">
        <v>50</v>
      </c>
      <c r="D1278" s="29" t="s">
        <v>482</v>
      </c>
    </row>
    <row r="1279" spans="1:4" ht="12.75">
      <c r="A1279" s="5" t="s">
        <v>2337</v>
      </c>
      <c r="B1279" s="4" t="s">
        <v>500</v>
      </c>
      <c r="C1279" s="4">
        <v>0.01</v>
      </c>
      <c r="D1279" s="29" t="s">
        <v>466</v>
      </c>
    </row>
    <row r="1280" spans="1:4" ht="12.75">
      <c r="A1280" s="5" t="s">
        <v>2338</v>
      </c>
      <c r="B1280" s="4" t="s">
        <v>465</v>
      </c>
      <c r="C1280" s="4">
        <v>0.02</v>
      </c>
      <c r="D1280" s="29" t="s">
        <v>466</v>
      </c>
    </row>
    <row r="1281" spans="1:4" ht="12.75">
      <c r="A1281" s="5" t="s">
        <v>2339</v>
      </c>
      <c r="B1281" s="4" t="s">
        <v>465</v>
      </c>
      <c r="C1281" s="4">
        <v>0.15</v>
      </c>
      <c r="D1281" s="29" t="s">
        <v>466</v>
      </c>
    </row>
    <row r="1282" spans="1:4" ht="12.75">
      <c r="A1282" s="5" t="s">
        <v>2340</v>
      </c>
      <c r="B1282" s="4" t="s">
        <v>590</v>
      </c>
      <c r="C1282" s="4">
        <v>40</v>
      </c>
      <c r="D1282" s="29" t="s">
        <v>482</v>
      </c>
    </row>
    <row r="1283" spans="1:4" ht="12.75">
      <c r="A1283" s="5" t="s">
        <v>2341</v>
      </c>
      <c r="B1283" s="4" t="s">
        <v>590</v>
      </c>
      <c r="C1283" s="4">
        <v>100</v>
      </c>
      <c r="D1283" s="29" t="s">
        <v>482</v>
      </c>
    </row>
    <row r="1284" spans="1:4" ht="12.75">
      <c r="A1284" s="5" t="s">
        <v>2342</v>
      </c>
      <c r="B1284" s="4" t="s">
        <v>590</v>
      </c>
      <c r="C1284" s="4">
        <v>80</v>
      </c>
      <c r="D1284" s="29" t="s">
        <v>482</v>
      </c>
    </row>
    <row r="1285" spans="1:4" ht="12.75">
      <c r="A1285" s="5" t="s">
        <v>2343</v>
      </c>
      <c r="B1285" s="4" t="s">
        <v>590</v>
      </c>
      <c r="C1285" s="4">
        <v>20</v>
      </c>
      <c r="D1285" s="29" t="s">
        <v>482</v>
      </c>
    </row>
    <row r="1286" spans="1:4" ht="12.75">
      <c r="A1286" s="5" t="s">
        <v>2344</v>
      </c>
      <c r="B1286" s="4" t="s">
        <v>590</v>
      </c>
      <c r="C1286" s="4">
        <v>40</v>
      </c>
      <c r="D1286" s="29" t="s">
        <v>482</v>
      </c>
    </row>
    <row r="1287" spans="1:4" ht="12.75">
      <c r="A1287" s="5" t="s">
        <v>2345</v>
      </c>
      <c r="B1287" s="4" t="s">
        <v>590</v>
      </c>
      <c r="C1287" s="4">
        <v>20</v>
      </c>
      <c r="D1287" s="29" t="s">
        <v>482</v>
      </c>
    </row>
    <row r="1288" spans="1:4" ht="12.75">
      <c r="A1288" s="5" t="s">
        <v>2346</v>
      </c>
      <c r="B1288" s="4" t="s">
        <v>590</v>
      </c>
      <c r="C1288" s="4">
        <v>20</v>
      </c>
      <c r="D1288" s="29" t="s">
        <v>482</v>
      </c>
    </row>
    <row r="1289" spans="1:4" ht="12.75">
      <c r="A1289" s="5" t="s">
        <v>2347</v>
      </c>
      <c r="B1289" s="4" t="s">
        <v>590</v>
      </c>
      <c r="C1289" s="4">
        <v>20</v>
      </c>
      <c r="D1289" s="29" t="s">
        <v>482</v>
      </c>
    </row>
    <row r="1290" spans="1:4" ht="12.75">
      <c r="A1290" s="5" t="s">
        <v>2348</v>
      </c>
      <c r="B1290" s="4" t="s">
        <v>590</v>
      </c>
      <c r="C1290" s="4">
        <v>50</v>
      </c>
      <c r="D1290" s="29" t="s">
        <v>482</v>
      </c>
    </row>
    <row r="1291" spans="1:4" ht="12.75">
      <c r="A1291" s="5" t="s">
        <v>2349</v>
      </c>
      <c r="B1291" s="4" t="s">
        <v>481</v>
      </c>
      <c r="C1291" s="4">
        <v>0.01</v>
      </c>
      <c r="D1291" s="29" t="s">
        <v>2350</v>
      </c>
    </row>
    <row r="1292" spans="1:4" ht="12.75">
      <c r="A1292" s="5" t="s">
        <v>2351</v>
      </c>
      <c r="B1292" s="4" t="s">
        <v>465</v>
      </c>
      <c r="C1292" s="4">
        <v>0.12</v>
      </c>
      <c r="D1292" s="29" t="s">
        <v>466</v>
      </c>
    </row>
    <row r="1293" spans="1:4" ht="12.75">
      <c r="A1293" s="5" t="s">
        <v>2352</v>
      </c>
      <c r="B1293" s="4" t="s">
        <v>494</v>
      </c>
      <c r="C1293" s="4">
        <v>500</v>
      </c>
      <c r="D1293" s="29" t="s">
        <v>482</v>
      </c>
    </row>
    <row r="1294" spans="1:4" ht="12.75">
      <c r="A1294" s="5" t="s">
        <v>2353</v>
      </c>
      <c r="B1294" s="4" t="s">
        <v>481</v>
      </c>
      <c r="C1294" s="4">
        <v>0.4</v>
      </c>
      <c r="D1294" s="29" t="s">
        <v>513</v>
      </c>
    </row>
    <row r="1295" spans="1:4" ht="12.75">
      <c r="A1295" s="5" t="s">
        <v>2354</v>
      </c>
      <c r="B1295" s="4" t="s">
        <v>494</v>
      </c>
      <c r="C1295" s="4">
        <v>20</v>
      </c>
      <c r="D1295" s="29" t="s">
        <v>482</v>
      </c>
    </row>
    <row r="1296" spans="1:4" ht="12.75">
      <c r="A1296" s="5" t="s">
        <v>2355</v>
      </c>
      <c r="B1296" s="4" t="s">
        <v>590</v>
      </c>
      <c r="C1296" s="4">
        <v>5</v>
      </c>
      <c r="D1296" s="29" t="s">
        <v>600</v>
      </c>
    </row>
    <row r="1297" spans="1:4" ht="12.75">
      <c r="A1297" s="5" t="s">
        <v>2356</v>
      </c>
      <c r="B1297" s="4" t="s">
        <v>590</v>
      </c>
      <c r="C1297" s="4">
        <v>15</v>
      </c>
      <c r="D1297" s="29" t="s">
        <v>600</v>
      </c>
    </row>
    <row r="1298" spans="1:4" ht="12.75">
      <c r="A1298" s="5" t="s">
        <v>2357</v>
      </c>
      <c r="B1298" s="4" t="s">
        <v>590</v>
      </c>
      <c r="C1298" s="4">
        <v>3</v>
      </c>
      <c r="D1298" s="29" t="s">
        <v>600</v>
      </c>
    </row>
    <row r="1299" spans="1:4" ht="12.75">
      <c r="A1299" s="5" t="s">
        <v>2358</v>
      </c>
      <c r="B1299" s="4" t="s">
        <v>590</v>
      </c>
      <c r="C1299" s="4">
        <v>9</v>
      </c>
      <c r="D1299" s="29" t="s">
        <v>600</v>
      </c>
    </row>
    <row r="1300" spans="1:4" ht="12.75">
      <c r="A1300" s="5" t="s">
        <v>2359</v>
      </c>
      <c r="B1300" s="4" t="s">
        <v>590</v>
      </c>
      <c r="C1300" s="4">
        <v>7</v>
      </c>
      <c r="D1300" s="29" t="s">
        <v>600</v>
      </c>
    </row>
    <row r="1301" spans="1:4" ht="12.75">
      <c r="A1301" s="5" t="s">
        <v>2360</v>
      </c>
      <c r="B1301" s="4" t="s">
        <v>517</v>
      </c>
      <c r="C1301" s="4">
        <v>0.03</v>
      </c>
      <c r="D1301" s="29" t="s">
        <v>1075</v>
      </c>
    </row>
    <row r="1302" spans="1:4" ht="12.75">
      <c r="A1302" s="5" t="s">
        <v>2361</v>
      </c>
      <c r="B1302" s="4" t="s">
        <v>486</v>
      </c>
      <c r="C1302" s="4">
        <v>0.07</v>
      </c>
      <c r="D1302" s="29" t="s">
        <v>487</v>
      </c>
    </row>
    <row r="1303" spans="1:4" ht="12.75">
      <c r="A1303" s="5" t="s">
        <v>2362</v>
      </c>
      <c r="B1303" s="4" t="s">
        <v>491</v>
      </c>
      <c r="C1303" s="4">
        <v>5</v>
      </c>
      <c r="D1303" s="29" t="s">
        <v>469</v>
      </c>
    </row>
    <row r="1304" spans="1:4" ht="12.75">
      <c r="A1304" s="5" t="s">
        <v>2363</v>
      </c>
      <c r="B1304" s="4" t="s">
        <v>491</v>
      </c>
      <c r="C1304" s="4">
        <v>8</v>
      </c>
      <c r="D1304" s="29" t="s">
        <v>469</v>
      </c>
    </row>
    <row r="1305" spans="1:4" ht="12.75">
      <c r="A1305" s="5" t="s">
        <v>2364</v>
      </c>
      <c r="B1305" s="4" t="s">
        <v>491</v>
      </c>
      <c r="C1305" s="4">
        <v>60</v>
      </c>
      <c r="D1305" s="29" t="s">
        <v>469</v>
      </c>
    </row>
    <row r="1306" spans="1:4" ht="12.75">
      <c r="A1306" s="5" t="s">
        <v>2365</v>
      </c>
      <c r="B1306" s="4" t="s">
        <v>491</v>
      </c>
      <c r="C1306" s="4">
        <v>60</v>
      </c>
      <c r="D1306" s="29" t="s">
        <v>469</v>
      </c>
    </row>
    <row r="1307" spans="1:4" ht="12.75">
      <c r="A1307" s="5" t="s">
        <v>2366</v>
      </c>
      <c r="B1307" s="4" t="s">
        <v>491</v>
      </c>
      <c r="C1307" s="4">
        <v>9</v>
      </c>
      <c r="D1307" s="29" t="s">
        <v>469</v>
      </c>
    </row>
    <row r="1308" spans="1:4" ht="12.75">
      <c r="A1308" s="5" t="s">
        <v>2367</v>
      </c>
      <c r="B1308" s="4" t="s">
        <v>491</v>
      </c>
      <c r="C1308" s="4">
        <v>112</v>
      </c>
      <c r="D1308" s="29" t="s">
        <v>469</v>
      </c>
    </row>
    <row r="1309" spans="1:4" ht="12.75">
      <c r="A1309" s="5" t="s">
        <v>2368</v>
      </c>
      <c r="B1309" s="4" t="s">
        <v>491</v>
      </c>
      <c r="C1309" s="4">
        <v>9</v>
      </c>
      <c r="D1309" s="29" t="s">
        <v>469</v>
      </c>
    </row>
    <row r="1310" spans="1:4" ht="12.75">
      <c r="A1310" s="5" t="s">
        <v>2369</v>
      </c>
      <c r="B1310" s="4" t="s">
        <v>491</v>
      </c>
      <c r="C1310" s="4">
        <v>80</v>
      </c>
      <c r="D1310" s="29" t="s">
        <v>469</v>
      </c>
    </row>
    <row r="1311" spans="1:4" ht="12.75">
      <c r="A1311" s="5" t="s">
        <v>2370</v>
      </c>
      <c r="B1311" s="4" t="s">
        <v>491</v>
      </c>
      <c r="C1311" s="4">
        <v>48</v>
      </c>
      <c r="D1311" s="29" t="s">
        <v>469</v>
      </c>
    </row>
    <row r="1312" spans="1:4" ht="12.75">
      <c r="A1312" s="5" t="s">
        <v>2371</v>
      </c>
      <c r="B1312" s="4" t="s">
        <v>500</v>
      </c>
      <c r="C1312" s="4">
        <v>0.8</v>
      </c>
      <c r="D1312" s="29" t="s">
        <v>482</v>
      </c>
    </row>
    <row r="1313" spans="1:4" ht="12.75">
      <c r="A1313" s="5" t="s">
        <v>2372</v>
      </c>
      <c r="B1313" s="4" t="s">
        <v>465</v>
      </c>
      <c r="C1313" s="4">
        <v>0.02</v>
      </c>
      <c r="D1313" s="29" t="s">
        <v>466</v>
      </c>
    </row>
    <row r="1314" spans="1:4" ht="12.75">
      <c r="A1314" s="5" t="s">
        <v>2373</v>
      </c>
      <c r="B1314" s="4" t="s">
        <v>465</v>
      </c>
      <c r="C1314" s="4">
        <v>0.06</v>
      </c>
      <c r="D1314" s="29" t="s">
        <v>466</v>
      </c>
    </row>
    <row r="1315" spans="1:4" ht="12.75">
      <c r="A1315" s="5" t="s">
        <v>2374</v>
      </c>
      <c r="B1315" s="4" t="s">
        <v>465</v>
      </c>
      <c r="C1315" s="4">
        <v>0.01</v>
      </c>
      <c r="D1315" s="29" t="s">
        <v>466</v>
      </c>
    </row>
    <row r="1316" spans="1:4" ht="12.75">
      <c r="A1316" s="5" t="s">
        <v>2375</v>
      </c>
      <c r="B1316" s="4" t="s">
        <v>465</v>
      </c>
      <c r="C1316" s="4">
        <v>0.01</v>
      </c>
      <c r="D1316" s="29" t="s">
        <v>560</v>
      </c>
    </row>
    <row r="1317" spans="1:4" ht="12.75">
      <c r="A1317" s="5" t="s">
        <v>2377</v>
      </c>
      <c r="B1317" s="4" t="s">
        <v>465</v>
      </c>
      <c r="C1317" s="4">
        <v>0.04</v>
      </c>
      <c r="D1317" s="29" t="s">
        <v>560</v>
      </c>
    </row>
    <row r="1318" spans="1:4" ht="12.75">
      <c r="A1318" s="5" t="s">
        <v>2378</v>
      </c>
      <c r="B1318" s="4" t="s">
        <v>465</v>
      </c>
      <c r="C1318" s="4">
        <v>1.6</v>
      </c>
      <c r="D1318" s="29" t="s">
        <v>560</v>
      </c>
    </row>
    <row r="1319" spans="1:4" ht="12.75">
      <c r="A1319" s="5" t="s">
        <v>2379</v>
      </c>
      <c r="B1319" s="4" t="s">
        <v>465</v>
      </c>
      <c r="C1319" s="4">
        <v>0.02</v>
      </c>
      <c r="D1319" s="29" t="s">
        <v>560</v>
      </c>
    </row>
    <row r="1320" spans="1:4" ht="12.75">
      <c r="A1320" s="5" t="s">
        <v>2380</v>
      </c>
      <c r="B1320" s="4" t="s">
        <v>465</v>
      </c>
      <c r="C1320" s="4">
        <v>0.05</v>
      </c>
      <c r="D1320" s="29" t="s">
        <v>466</v>
      </c>
    </row>
    <row r="1321" spans="1:4" ht="12.75">
      <c r="A1321" s="5" t="s">
        <v>2381</v>
      </c>
      <c r="B1321" s="4" t="s">
        <v>465</v>
      </c>
      <c r="C1321" s="4">
        <v>0.01</v>
      </c>
      <c r="D1321" s="29" t="s">
        <v>560</v>
      </c>
    </row>
    <row r="1322" spans="1:4" ht="12.75">
      <c r="A1322" s="5" t="s">
        <v>2382</v>
      </c>
      <c r="B1322" s="4" t="s">
        <v>465</v>
      </c>
      <c r="C1322" s="4">
        <v>0.06</v>
      </c>
      <c r="D1322" s="29" t="s">
        <v>560</v>
      </c>
    </row>
    <row r="1323" spans="1:4" ht="12.75">
      <c r="A1323" s="5" t="s">
        <v>2383</v>
      </c>
      <c r="B1323" s="4" t="s">
        <v>465</v>
      </c>
      <c r="C1323" s="4">
        <v>0.92</v>
      </c>
      <c r="D1323" s="29" t="s">
        <v>560</v>
      </c>
    </row>
    <row r="1324" spans="1:4" ht="12.75">
      <c r="A1324" s="5" t="s">
        <v>2384</v>
      </c>
      <c r="B1324" s="4" t="s">
        <v>465</v>
      </c>
      <c r="C1324" s="4">
        <v>0.03</v>
      </c>
      <c r="D1324" s="29" t="s">
        <v>560</v>
      </c>
    </row>
    <row r="1325" spans="1:4" ht="12.75">
      <c r="A1325" s="5" t="s">
        <v>2385</v>
      </c>
      <c r="B1325" s="4" t="s">
        <v>500</v>
      </c>
      <c r="C1325" s="4">
        <v>100</v>
      </c>
      <c r="D1325" s="29" t="s">
        <v>691</v>
      </c>
    </row>
    <row r="1326" spans="1:4" ht="12.75">
      <c r="A1326" s="5" t="s">
        <v>2386</v>
      </c>
      <c r="B1326" s="4" t="s">
        <v>590</v>
      </c>
      <c r="C1326" s="4">
        <v>2</v>
      </c>
      <c r="D1326" s="29" t="s">
        <v>482</v>
      </c>
    </row>
    <row r="1327" spans="1:4" ht="12.75">
      <c r="A1327" s="5" t="s">
        <v>2387</v>
      </c>
      <c r="B1327" s="4" t="s">
        <v>590</v>
      </c>
      <c r="C1327" s="4">
        <v>14</v>
      </c>
      <c r="D1327" s="29" t="s">
        <v>482</v>
      </c>
    </row>
    <row r="1328" spans="1:4" ht="12.75">
      <c r="A1328" s="5" t="s">
        <v>2388</v>
      </c>
      <c r="B1328" s="4" t="s">
        <v>590</v>
      </c>
      <c r="C1328" s="4">
        <v>15</v>
      </c>
      <c r="D1328" s="29" t="s">
        <v>482</v>
      </c>
    </row>
    <row r="1329" spans="1:4" ht="12.75">
      <c r="A1329" s="5" t="s">
        <v>2389</v>
      </c>
      <c r="B1329" s="4" t="s">
        <v>590</v>
      </c>
      <c r="C1329" s="4">
        <v>1.2</v>
      </c>
      <c r="D1329" s="29" t="s">
        <v>482</v>
      </c>
    </row>
    <row r="1330" spans="1:4" ht="12.75">
      <c r="A1330" s="5" t="s">
        <v>2390</v>
      </c>
      <c r="B1330" s="4" t="s">
        <v>590</v>
      </c>
      <c r="C1330" s="4">
        <v>1.3</v>
      </c>
      <c r="D1330" s="29" t="s">
        <v>482</v>
      </c>
    </row>
    <row r="1331" spans="1:4" ht="12.75">
      <c r="A1331" s="5" t="s">
        <v>2391</v>
      </c>
      <c r="B1331" s="4" t="s">
        <v>590</v>
      </c>
      <c r="C1331" s="4">
        <v>5</v>
      </c>
      <c r="D1331" s="29" t="s">
        <v>482</v>
      </c>
    </row>
    <row r="1332" spans="1:4" ht="12.75">
      <c r="A1332" s="5" t="s">
        <v>2392</v>
      </c>
      <c r="B1332" s="4" t="s">
        <v>590</v>
      </c>
      <c r="C1332" s="4">
        <v>1.5</v>
      </c>
      <c r="D1332" s="29" t="s">
        <v>482</v>
      </c>
    </row>
    <row r="1333" spans="1:4" ht="12.75">
      <c r="A1333" s="5" t="s">
        <v>2393</v>
      </c>
      <c r="B1333" s="4" t="s">
        <v>590</v>
      </c>
      <c r="C1333" s="4">
        <v>1.2</v>
      </c>
      <c r="D1333" s="29" t="s">
        <v>482</v>
      </c>
    </row>
    <row r="1334" spans="1:4" ht="12.75">
      <c r="A1334" s="5" t="s">
        <v>2394</v>
      </c>
      <c r="B1334" s="4" t="s">
        <v>590</v>
      </c>
      <c r="C1334" s="4">
        <v>7.5</v>
      </c>
      <c r="D1334" s="29" t="s">
        <v>482</v>
      </c>
    </row>
    <row r="1335" spans="1:4" ht="12.75">
      <c r="A1335" s="5" t="s">
        <v>2395</v>
      </c>
      <c r="B1335" s="4" t="s">
        <v>590</v>
      </c>
      <c r="C1335" s="4">
        <v>9.5</v>
      </c>
      <c r="D1335" s="29" t="s">
        <v>482</v>
      </c>
    </row>
    <row r="1336" spans="1:4" ht="12.75">
      <c r="A1336" s="5" t="s">
        <v>2396</v>
      </c>
      <c r="B1336" s="4" t="s">
        <v>590</v>
      </c>
      <c r="C1336" s="4">
        <v>1</v>
      </c>
      <c r="D1336" s="29" t="s">
        <v>482</v>
      </c>
    </row>
    <row r="1337" spans="1:4" ht="12.75">
      <c r="A1337" s="5" t="s">
        <v>2397</v>
      </c>
      <c r="B1337" s="4" t="s">
        <v>590</v>
      </c>
      <c r="C1337" s="4">
        <v>8</v>
      </c>
      <c r="D1337" s="29" t="s">
        <v>482</v>
      </c>
    </row>
    <row r="1338" spans="1:4" ht="12.75">
      <c r="A1338" s="5" t="s">
        <v>2398</v>
      </c>
      <c r="B1338" s="4" t="s">
        <v>494</v>
      </c>
      <c r="C1338" s="4">
        <v>0.02</v>
      </c>
      <c r="D1338" s="29" t="s">
        <v>482</v>
      </c>
    </row>
    <row r="1339" spans="1:4" ht="12.75">
      <c r="A1339" s="5" t="s">
        <v>2399</v>
      </c>
      <c r="B1339" s="4" t="s">
        <v>644</v>
      </c>
      <c r="C1339" s="4">
        <v>4</v>
      </c>
      <c r="D1339" s="29" t="s">
        <v>482</v>
      </c>
    </row>
    <row r="1340" spans="1:4" ht="12.75">
      <c r="A1340" s="5" t="s">
        <v>2400</v>
      </c>
      <c r="B1340" s="4" t="s">
        <v>465</v>
      </c>
      <c r="C1340" s="4">
        <v>0.18</v>
      </c>
      <c r="D1340" s="29" t="s">
        <v>466</v>
      </c>
    </row>
    <row r="1341" spans="1:4" ht="12.75">
      <c r="A1341" s="5" t="s">
        <v>2401</v>
      </c>
      <c r="B1341" s="4" t="s">
        <v>465</v>
      </c>
      <c r="C1341" s="4">
        <v>0.03</v>
      </c>
      <c r="D1341" s="29" t="s">
        <v>466</v>
      </c>
    </row>
    <row r="1342" spans="1:4" ht="12.75">
      <c r="A1342" s="5" t="s">
        <v>2402</v>
      </c>
      <c r="B1342" s="4" t="s">
        <v>541</v>
      </c>
      <c r="C1342" s="4">
        <v>0.07</v>
      </c>
      <c r="D1342" s="29" t="s">
        <v>542</v>
      </c>
    </row>
    <row r="1343" spans="1:4" ht="12.75">
      <c r="A1343" s="5" t="s">
        <v>2403</v>
      </c>
      <c r="B1343" s="4" t="s">
        <v>644</v>
      </c>
      <c r="C1343" s="4">
        <v>0.8</v>
      </c>
      <c r="D1343" s="29" t="s">
        <v>482</v>
      </c>
    </row>
    <row r="1344" spans="1:4" ht="12.75">
      <c r="A1344" s="5" t="s">
        <v>2404</v>
      </c>
      <c r="B1344" s="4" t="s">
        <v>473</v>
      </c>
      <c r="C1344" s="4">
        <v>100</v>
      </c>
      <c r="D1344" s="29" t="s">
        <v>469</v>
      </c>
    </row>
    <row r="1345" spans="1:4" ht="12.75">
      <c r="A1345" s="5" t="s">
        <v>2405</v>
      </c>
      <c r="B1345" s="4" t="s">
        <v>494</v>
      </c>
      <c r="C1345" s="4">
        <v>1000</v>
      </c>
      <c r="D1345" s="29" t="s">
        <v>482</v>
      </c>
    </row>
    <row r="1346" spans="1:4" ht="12.75">
      <c r="A1346" s="5" t="s">
        <v>2406</v>
      </c>
      <c r="B1346" s="4" t="s">
        <v>481</v>
      </c>
      <c r="C1346" s="4">
        <v>2.5</v>
      </c>
      <c r="D1346" s="29" t="s">
        <v>513</v>
      </c>
    </row>
    <row r="1347" spans="1:4" ht="12.75">
      <c r="A1347" s="5" t="s">
        <v>2407</v>
      </c>
      <c r="B1347" s="4" t="s">
        <v>481</v>
      </c>
      <c r="C1347" s="4">
        <v>22.5</v>
      </c>
      <c r="D1347" s="29" t="s">
        <v>513</v>
      </c>
    </row>
    <row r="1348" spans="1:4" ht="12.75">
      <c r="A1348" s="5" t="s">
        <v>2408</v>
      </c>
      <c r="B1348" s="4" t="s">
        <v>473</v>
      </c>
      <c r="C1348" s="4">
        <v>120</v>
      </c>
      <c r="D1348" s="29" t="s">
        <v>469</v>
      </c>
    </row>
    <row r="1349" spans="1:4" ht="12.75">
      <c r="A1349" s="5" t="s">
        <v>2409</v>
      </c>
      <c r="B1349" s="4" t="s">
        <v>541</v>
      </c>
      <c r="C1349" s="4">
        <v>20.5</v>
      </c>
      <c r="D1349" s="29" t="s">
        <v>542</v>
      </c>
    </row>
    <row r="1350" spans="1:4" ht="12.75">
      <c r="A1350" s="5" t="s">
        <v>2410</v>
      </c>
      <c r="B1350" s="4" t="s">
        <v>468</v>
      </c>
      <c r="C1350" s="4">
        <v>3</v>
      </c>
      <c r="D1350" s="29" t="s">
        <v>469</v>
      </c>
    </row>
    <row r="1351" spans="1:4" ht="12.75">
      <c r="A1351" s="5" t="s">
        <v>2411</v>
      </c>
      <c r="B1351" s="4" t="s">
        <v>468</v>
      </c>
      <c r="C1351" s="4">
        <v>3.5</v>
      </c>
      <c r="D1351" s="29" t="s">
        <v>469</v>
      </c>
    </row>
    <row r="1352" spans="1:4" ht="12.75">
      <c r="A1352" s="5" t="s">
        <v>2412</v>
      </c>
      <c r="B1352" s="4" t="s">
        <v>468</v>
      </c>
      <c r="C1352" s="4">
        <v>0.5</v>
      </c>
      <c r="D1352" s="29" t="s">
        <v>469</v>
      </c>
    </row>
    <row r="1353" spans="1:4" ht="12.75">
      <c r="A1353" s="5" t="s">
        <v>2413</v>
      </c>
      <c r="B1353" s="4" t="s">
        <v>500</v>
      </c>
      <c r="C1353" s="4">
        <v>0.8</v>
      </c>
      <c r="D1353" s="29" t="s">
        <v>482</v>
      </c>
    </row>
    <row r="1354" spans="1:4" ht="12.75">
      <c r="A1354" s="5" t="s">
        <v>2414</v>
      </c>
      <c r="B1354" s="4" t="s">
        <v>484</v>
      </c>
      <c r="C1354" s="4">
        <v>1</v>
      </c>
      <c r="D1354" s="29" t="s">
        <v>482</v>
      </c>
    </row>
    <row r="1355" spans="1:4" ht="12.75">
      <c r="A1355" s="5" t="s">
        <v>2415</v>
      </c>
      <c r="B1355" s="4" t="s">
        <v>484</v>
      </c>
      <c r="C1355" s="4">
        <v>2</v>
      </c>
      <c r="D1355" s="29" t="s">
        <v>482</v>
      </c>
    </row>
    <row r="1356" spans="1:4" ht="12.75">
      <c r="A1356" s="5" t="s">
        <v>443</v>
      </c>
      <c r="B1356" s="4" t="s">
        <v>484</v>
      </c>
      <c r="C1356" s="4">
        <v>0.5</v>
      </c>
      <c r="D1356" s="29" t="s">
        <v>482</v>
      </c>
    </row>
    <row r="1357" spans="1:4" ht="12.75">
      <c r="A1357" s="5" t="s">
        <v>2416</v>
      </c>
      <c r="B1357" s="4" t="s">
        <v>484</v>
      </c>
      <c r="C1357" s="4">
        <v>0.5</v>
      </c>
      <c r="D1357" s="29" t="s">
        <v>482</v>
      </c>
    </row>
    <row r="1358" spans="1:4" ht="12.75">
      <c r="A1358" s="5" t="s">
        <v>2417</v>
      </c>
      <c r="B1358" s="4" t="s">
        <v>473</v>
      </c>
      <c r="C1358" s="4">
        <v>9</v>
      </c>
      <c r="D1358" s="29" t="s">
        <v>469</v>
      </c>
    </row>
    <row r="1359" spans="1:4" ht="12.75">
      <c r="A1359" s="5" t="s">
        <v>2418</v>
      </c>
      <c r="B1359" s="4" t="s">
        <v>473</v>
      </c>
      <c r="C1359" s="4">
        <v>450</v>
      </c>
      <c r="D1359" s="29" t="s">
        <v>469</v>
      </c>
    </row>
    <row r="1360" spans="1:4" ht="12.75">
      <c r="A1360" s="5" t="s">
        <v>2419</v>
      </c>
      <c r="B1360" s="4" t="s">
        <v>473</v>
      </c>
      <c r="C1360" s="4">
        <v>1390</v>
      </c>
      <c r="D1360" s="29" t="s">
        <v>469</v>
      </c>
    </row>
    <row r="1361" spans="1:4" ht="12.75">
      <c r="A1361" s="5" t="s">
        <v>2420</v>
      </c>
      <c r="B1361" s="4" t="s">
        <v>517</v>
      </c>
      <c r="C1361" s="4">
        <v>1</v>
      </c>
      <c r="D1361" s="29" t="s">
        <v>482</v>
      </c>
    </row>
    <row r="1362" spans="1:4" ht="12.75">
      <c r="A1362" s="5" t="s">
        <v>2420</v>
      </c>
      <c r="B1362" s="4" t="s">
        <v>494</v>
      </c>
      <c r="C1362" s="4">
        <v>5</v>
      </c>
      <c r="D1362" s="29" t="s">
        <v>482</v>
      </c>
    </row>
    <row r="1363" spans="1:4" ht="12.75">
      <c r="A1363" s="5" t="s">
        <v>2421</v>
      </c>
      <c r="B1363" s="4" t="s">
        <v>486</v>
      </c>
      <c r="C1363" s="4">
        <v>0.05</v>
      </c>
      <c r="D1363" s="29" t="s">
        <v>487</v>
      </c>
    </row>
    <row r="1364" spans="1:4" ht="12.75">
      <c r="A1364" s="5" t="s">
        <v>2422</v>
      </c>
      <c r="B1364" s="4" t="s">
        <v>517</v>
      </c>
      <c r="C1364" s="4">
        <v>0.02</v>
      </c>
      <c r="D1364" s="29" t="s">
        <v>482</v>
      </c>
    </row>
    <row r="1365" spans="1:4" ht="12.75">
      <c r="A1365" s="5" t="s">
        <v>2423</v>
      </c>
      <c r="B1365" s="4" t="s">
        <v>500</v>
      </c>
      <c r="C1365" s="4">
        <v>25</v>
      </c>
      <c r="D1365" s="29" t="s">
        <v>482</v>
      </c>
    </row>
    <row r="1366" spans="1:4" ht="12.75">
      <c r="A1366" s="5" t="s">
        <v>2424</v>
      </c>
      <c r="B1366" s="4" t="s">
        <v>500</v>
      </c>
      <c r="C1366" s="4">
        <v>5</v>
      </c>
      <c r="D1366" s="29" t="s">
        <v>482</v>
      </c>
    </row>
    <row r="1367" spans="1:4" ht="12.75">
      <c r="A1367" s="5" t="s">
        <v>2425</v>
      </c>
      <c r="B1367" s="4" t="s">
        <v>500</v>
      </c>
      <c r="C1367" s="4">
        <v>100</v>
      </c>
      <c r="D1367" s="29" t="s">
        <v>482</v>
      </c>
    </row>
    <row r="1368" spans="1:4" ht="12.75">
      <c r="A1368" s="5" t="s">
        <v>2426</v>
      </c>
      <c r="B1368" s="4" t="s">
        <v>644</v>
      </c>
      <c r="C1368" s="4">
        <v>1</v>
      </c>
      <c r="D1368" s="29" t="s">
        <v>482</v>
      </c>
    </row>
    <row r="1369" spans="1:4" ht="12.75">
      <c r="A1369" s="5" t="s">
        <v>2427</v>
      </c>
      <c r="B1369" s="4" t="s">
        <v>481</v>
      </c>
      <c r="C1369" s="4">
        <v>0.4</v>
      </c>
      <c r="D1369" s="29" t="s">
        <v>513</v>
      </c>
    </row>
    <row r="1370" spans="1:4" ht="12.75">
      <c r="A1370" s="5" t="s">
        <v>2428</v>
      </c>
      <c r="B1370" s="4" t="s">
        <v>541</v>
      </c>
      <c r="C1370" s="4">
        <v>0.01</v>
      </c>
      <c r="D1370" s="29" t="s">
        <v>542</v>
      </c>
    </row>
    <row r="1371" spans="1:4" ht="12.75">
      <c r="A1371" s="5" t="s">
        <v>2429</v>
      </c>
      <c r="B1371" s="4" t="s">
        <v>465</v>
      </c>
      <c r="C1371" s="4">
        <v>0.01</v>
      </c>
      <c r="D1371" s="29" t="s">
        <v>560</v>
      </c>
    </row>
    <row r="1372" spans="1:4" ht="12.75">
      <c r="A1372" s="5" t="s">
        <v>2430</v>
      </c>
      <c r="B1372" s="4" t="s">
        <v>481</v>
      </c>
      <c r="C1372" s="4">
        <v>5</v>
      </c>
      <c r="D1372" s="29" t="s">
        <v>513</v>
      </c>
    </row>
    <row r="1373" spans="1:4" ht="12.75">
      <c r="A1373" s="5" t="s">
        <v>2431</v>
      </c>
      <c r="B1373" s="4" t="s">
        <v>481</v>
      </c>
      <c r="C1373" s="4">
        <v>45</v>
      </c>
      <c r="D1373" s="29" t="s">
        <v>513</v>
      </c>
    </row>
    <row r="1374" spans="1:4" ht="12.75">
      <c r="A1374" s="5" t="s">
        <v>2432</v>
      </c>
      <c r="B1374" s="4" t="s">
        <v>479</v>
      </c>
      <c r="C1374" s="4">
        <v>0.06</v>
      </c>
      <c r="D1374" s="29" t="s">
        <v>466</v>
      </c>
    </row>
    <row r="1375" spans="1:4" ht="12.75">
      <c r="A1375" s="5" t="s">
        <v>2433</v>
      </c>
      <c r="B1375" s="4" t="s">
        <v>479</v>
      </c>
      <c r="C1375" s="4">
        <v>0.6</v>
      </c>
      <c r="D1375" s="29" t="s">
        <v>466</v>
      </c>
    </row>
    <row r="1376" spans="1:4" ht="12.75">
      <c r="A1376" s="5" t="s">
        <v>2434</v>
      </c>
      <c r="B1376" s="4" t="s">
        <v>479</v>
      </c>
      <c r="C1376" s="4">
        <v>0.08</v>
      </c>
      <c r="D1376" s="29" t="s">
        <v>466</v>
      </c>
    </row>
    <row r="1377" spans="1:4" ht="12.75">
      <c r="A1377" s="5" t="s">
        <v>2435</v>
      </c>
      <c r="B1377" s="4" t="s">
        <v>500</v>
      </c>
      <c r="C1377" s="4">
        <v>0.03</v>
      </c>
      <c r="D1377" s="29" t="s">
        <v>482</v>
      </c>
    </row>
    <row r="1378" spans="1:4" ht="12.75">
      <c r="A1378" s="5" t="s">
        <v>2436</v>
      </c>
      <c r="B1378" s="4" t="s">
        <v>481</v>
      </c>
      <c r="C1378" s="4">
        <v>0.3</v>
      </c>
      <c r="D1378" s="29" t="s">
        <v>513</v>
      </c>
    </row>
    <row r="1379" spans="1:4" ht="12.75">
      <c r="A1379" s="5" t="s">
        <v>2437</v>
      </c>
      <c r="B1379" s="4" t="s">
        <v>494</v>
      </c>
      <c r="C1379" s="4">
        <v>10</v>
      </c>
      <c r="D1379" s="29" t="s">
        <v>1075</v>
      </c>
    </row>
    <row r="1380" spans="1:4" ht="12.75">
      <c r="A1380" s="5" t="s">
        <v>2438</v>
      </c>
      <c r="B1380" s="4" t="s">
        <v>475</v>
      </c>
      <c r="C1380" s="4">
        <v>5</v>
      </c>
      <c r="D1380" s="29" t="s">
        <v>476</v>
      </c>
    </row>
    <row r="1381" spans="1:4" ht="12.75">
      <c r="A1381" s="5" t="s">
        <v>2439</v>
      </c>
      <c r="B1381" s="4" t="s">
        <v>475</v>
      </c>
      <c r="C1381" s="4">
        <v>5</v>
      </c>
      <c r="D1381" s="29" t="s">
        <v>476</v>
      </c>
    </row>
    <row r="1382" spans="1:4" ht="12.75">
      <c r="A1382" s="5" t="s">
        <v>2440</v>
      </c>
      <c r="B1382" s="4" t="s">
        <v>465</v>
      </c>
      <c r="C1382" s="4">
        <v>0.75</v>
      </c>
      <c r="D1382" s="29" t="s">
        <v>466</v>
      </c>
    </row>
    <row r="1383" spans="1:4" ht="12.75">
      <c r="A1383" s="5" t="s">
        <v>2441</v>
      </c>
      <c r="B1383" s="4" t="s">
        <v>465</v>
      </c>
      <c r="C1383" s="4">
        <v>1</v>
      </c>
      <c r="D1383" s="29" t="s">
        <v>466</v>
      </c>
    </row>
    <row r="1384" spans="1:4" ht="12.75">
      <c r="A1384" s="5" t="s">
        <v>2442</v>
      </c>
      <c r="B1384" s="4" t="s">
        <v>465</v>
      </c>
      <c r="C1384" s="4">
        <v>0.13</v>
      </c>
      <c r="D1384" s="29" t="s">
        <v>466</v>
      </c>
    </row>
    <row r="1385" spans="1:4" ht="12.75">
      <c r="A1385" s="5" t="s">
        <v>2443</v>
      </c>
      <c r="B1385" s="4" t="s">
        <v>465</v>
      </c>
      <c r="C1385" s="4">
        <v>0.05</v>
      </c>
      <c r="D1385" s="29" t="s">
        <v>466</v>
      </c>
    </row>
    <row r="1386" spans="1:4" ht="12.75">
      <c r="A1386" s="5" t="s">
        <v>2444</v>
      </c>
      <c r="B1386" s="4" t="s">
        <v>465</v>
      </c>
      <c r="C1386" s="4">
        <v>0.08</v>
      </c>
      <c r="D1386" s="29" t="s">
        <v>560</v>
      </c>
    </row>
    <row r="1387" spans="1:4" ht="12.75">
      <c r="A1387" s="5" t="s">
        <v>2445</v>
      </c>
      <c r="B1387" s="4" t="s">
        <v>465</v>
      </c>
      <c r="C1387" s="4">
        <v>0.75</v>
      </c>
      <c r="D1387" s="29" t="s">
        <v>560</v>
      </c>
    </row>
    <row r="1388" spans="1:4" ht="12.75">
      <c r="A1388" s="5" t="s">
        <v>2446</v>
      </c>
      <c r="B1388" s="4" t="s">
        <v>465</v>
      </c>
      <c r="C1388" s="4">
        <v>0.17</v>
      </c>
      <c r="D1388" s="29" t="s">
        <v>560</v>
      </c>
    </row>
    <row r="1389" spans="1:4" ht="12.75">
      <c r="A1389" s="5" t="s">
        <v>2447</v>
      </c>
      <c r="B1389" s="4" t="s">
        <v>644</v>
      </c>
      <c r="C1389" s="4">
        <v>30</v>
      </c>
      <c r="D1389" s="29" t="s">
        <v>482</v>
      </c>
    </row>
    <row r="1390" spans="1:4" ht="12.75">
      <c r="A1390" s="5" t="s">
        <v>2448</v>
      </c>
      <c r="B1390" s="4" t="s">
        <v>500</v>
      </c>
      <c r="C1390" s="4">
        <v>0.08</v>
      </c>
      <c r="D1390" s="29" t="s">
        <v>466</v>
      </c>
    </row>
    <row r="1391" spans="1:4" ht="12.75">
      <c r="A1391" s="5" t="s">
        <v>2449</v>
      </c>
      <c r="B1391" s="4" t="s">
        <v>473</v>
      </c>
      <c r="C1391" s="4">
        <v>120</v>
      </c>
      <c r="D1391" s="29" t="s">
        <v>469</v>
      </c>
    </row>
    <row r="1392" spans="1:4" ht="12.75">
      <c r="A1392" s="5" t="s">
        <v>2450</v>
      </c>
      <c r="B1392" s="4" t="s">
        <v>473</v>
      </c>
      <c r="C1392" s="4">
        <v>700</v>
      </c>
      <c r="D1392" s="29" t="s">
        <v>469</v>
      </c>
    </row>
    <row r="1393" spans="1:4" ht="12.75">
      <c r="A1393" s="5" t="s">
        <v>2451</v>
      </c>
      <c r="B1393" s="4" t="s">
        <v>484</v>
      </c>
      <c r="C1393" s="4">
        <v>50</v>
      </c>
      <c r="D1393" s="29" t="s">
        <v>482</v>
      </c>
    </row>
    <row r="1394" spans="1:4" ht="12.75">
      <c r="A1394" s="5" t="s">
        <v>2452</v>
      </c>
      <c r="B1394" s="4" t="s">
        <v>484</v>
      </c>
      <c r="C1394" s="4">
        <v>10</v>
      </c>
      <c r="D1394" s="29" t="s">
        <v>482</v>
      </c>
    </row>
    <row r="1395" spans="1:4" ht="12.75">
      <c r="A1395" s="5" t="s">
        <v>2453</v>
      </c>
      <c r="B1395" s="4" t="s">
        <v>479</v>
      </c>
      <c r="C1395" s="4">
        <v>90</v>
      </c>
      <c r="D1395" s="29" t="s">
        <v>466</v>
      </c>
    </row>
    <row r="1396" spans="1:4" ht="12.75">
      <c r="A1396" s="5" t="s">
        <v>2454</v>
      </c>
      <c r="B1396" s="4" t="s">
        <v>465</v>
      </c>
      <c r="C1396" s="4">
        <v>0.03</v>
      </c>
      <c r="D1396" s="29" t="s">
        <v>466</v>
      </c>
    </row>
    <row r="1397" spans="1:4" ht="12.75">
      <c r="A1397" s="5" t="s">
        <v>2455</v>
      </c>
      <c r="B1397" s="4" t="s">
        <v>465</v>
      </c>
      <c r="C1397" s="4">
        <v>0.01</v>
      </c>
      <c r="D1397" s="29" t="s">
        <v>466</v>
      </c>
    </row>
    <row r="1398" spans="1:4" ht="12.75">
      <c r="A1398" s="5" t="s">
        <v>2456</v>
      </c>
      <c r="B1398" s="4" t="s">
        <v>486</v>
      </c>
      <c r="C1398" s="4">
        <v>0.1</v>
      </c>
      <c r="D1398" s="29" t="s">
        <v>487</v>
      </c>
    </row>
    <row r="1399" spans="1:4" ht="12.75">
      <c r="A1399" s="26"/>
      <c r="B1399" s="27"/>
      <c r="C1399" s="27"/>
      <c r="D1399" s="28"/>
    </row>
    <row r="1400" spans="1:4" ht="12.75">
      <c r="A1400" s="26"/>
      <c r="B1400" s="27"/>
      <c r="C1400" s="27"/>
      <c r="D1400" s="28"/>
    </row>
    <row r="1401" spans="1:4" ht="12.75">
      <c r="A1401" s="26"/>
      <c r="B1401" s="27"/>
      <c r="C1401" s="27"/>
      <c r="D1401" s="28"/>
    </row>
    <row r="1402" spans="1:4" ht="12.75">
      <c r="A1402" s="26"/>
      <c r="B1402" s="27"/>
      <c r="C1402" s="27"/>
      <c r="D1402" s="28"/>
    </row>
    <row r="1403" spans="1:4" ht="12.75">
      <c r="A1403" s="26"/>
      <c r="B1403" s="27"/>
      <c r="C1403" s="27"/>
      <c r="D1403" s="28"/>
    </row>
    <row r="1404" spans="1:4" ht="12.75">
      <c r="A1404" s="26"/>
      <c r="B1404" s="27"/>
      <c r="C1404" s="27"/>
      <c r="D1404" s="28"/>
    </row>
    <row r="1405" spans="1:4" ht="12.75">
      <c r="A1405" s="26"/>
      <c r="B1405" s="27"/>
      <c r="C1405" s="27"/>
      <c r="D1405" s="28"/>
    </row>
    <row r="1406" spans="1:4" ht="12.75">
      <c r="A1406" s="26"/>
      <c r="B1406" s="27"/>
      <c r="C1406" s="27"/>
      <c r="D1406" s="28"/>
    </row>
    <row r="1407" spans="1:4" ht="12.75">
      <c r="A1407" s="26"/>
      <c r="B1407" s="27"/>
      <c r="C1407" s="27"/>
      <c r="D1407" s="28"/>
    </row>
    <row r="1408" spans="1:4" ht="12.75">
      <c r="A1408" s="26"/>
      <c r="B1408" s="27"/>
      <c r="C1408" s="27"/>
      <c r="D1408" s="28"/>
    </row>
    <row r="1409" spans="1:4" ht="12.75">
      <c r="A1409" s="26"/>
      <c r="B1409" s="27"/>
      <c r="C1409" s="27"/>
      <c r="D1409" s="28"/>
    </row>
    <row r="1410" spans="1:4" ht="12.75">
      <c r="A1410" s="26"/>
      <c r="B1410" s="27"/>
      <c r="C1410" s="27"/>
      <c r="D1410" s="28"/>
    </row>
    <row r="1411" spans="1:4" ht="12.75">
      <c r="A1411" s="26"/>
      <c r="B1411" s="27"/>
      <c r="C1411" s="27"/>
      <c r="D1411" s="28"/>
    </row>
    <row r="1412" spans="1:4" ht="12.75">
      <c r="A1412" s="26"/>
      <c r="B1412" s="27"/>
      <c r="C1412" s="27"/>
      <c r="D1412" s="28"/>
    </row>
    <row r="1413" spans="1:4" ht="12.75">
      <c r="A1413" s="26"/>
      <c r="B1413" s="27"/>
      <c r="C1413" s="27"/>
      <c r="D1413" s="28"/>
    </row>
    <row r="1414" spans="1:4" ht="12.75">
      <c r="A1414" s="26"/>
      <c r="B1414" s="27"/>
      <c r="C1414" s="27"/>
      <c r="D1414" s="28"/>
    </row>
    <row r="1415" spans="1:4" ht="12.75">
      <c r="A1415" s="26"/>
      <c r="B1415" s="27"/>
      <c r="C1415" s="27"/>
      <c r="D1415" s="28"/>
    </row>
    <row r="1416" spans="1:4" ht="12.75">
      <c r="A1416" s="26"/>
      <c r="B1416" s="27"/>
      <c r="C1416" s="27"/>
      <c r="D1416" s="28"/>
    </row>
    <row r="1417" spans="1:4" ht="12.75">
      <c r="A1417" s="26"/>
      <c r="B1417" s="27"/>
      <c r="C1417" s="27"/>
      <c r="D1417" s="28"/>
    </row>
    <row r="1418" spans="1:4" ht="12.75">
      <c r="A1418" s="26"/>
      <c r="B1418" s="27"/>
      <c r="C1418" s="27"/>
      <c r="D1418" s="28"/>
    </row>
    <row r="1419" spans="1:4" ht="12.75">
      <c r="A1419" s="26"/>
      <c r="B1419" s="27"/>
      <c r="C1419" s="27"/>
      <c r="D1419" s="28"/>
    </row>
    <row r="1420" spans="1:4" ht="12.75">
      <c r="A1420" s="26"/>
      <c r="B1420" s="27"/>
      <c r="C1420" s="27"/>
      <c r="D1420" s="28"/>
    </row>
    <row r="1421" spans="1:4" ht="12.75">
      <c r="A1421" s="26"/>
      <c r="B1421" s="27"/>
      <c r="C1421" s="27"/>
      <c r="D1421" s="28"/>
    </row>
    <row r="1422" spans="1:4" ht="12.75">
      <c r="A1422" s="26"/>
      <c r="B1422" s="27"/>
      <c r="C1422" s="27"/>
      <c r="D1422" s="28"/>
    </row>
    <row r="1423" spans="1:4" ht="12.75">
      <c r="A1423" s="26"/>
      <c r="B1423" s="27"/>
      <c r="C1423" s="27"/>
      <c r="D1423" s="28"/>
    </row>
    <row r="1424" spans="1:4" ht="12.75">
      <c r="A1424" s="26"/>
      <c r="B1424" s="27"/>
      <c r="C1424" s="27"/>
      <c r="D1424" s="28"/>
    </row>
    <row r="1425" spans="1:4" ht="12.75">
      <c r="A1425" s="26"/>
      <c r="B1425" s="27"/>
      <c r="C1425" s="27"/>
      <c r="D1425" s="28"/>
    </row>
    <row r="1426" spans="1:4" ht="12.75">
      <c r="A1426" s="26"/>
      <c r="B1426" s="27"/>
      <c r="C1426" s="27"/>
      <c r="D1426" s="28"/>
    </row>
    <row r="1427" spans="1:4" ht="12.75">
      <c r="A1427" s="26"/>
      <c r="B1427" s="27"/>
      <c r="C1427" s="27"/>
      <c r="D1427" s="28"/>
    </row>
    <row r="1428" spans="1:4" ht="12.75">
      <c r="A1428" s="26"/>
      <c r="B1428" s="27"/>
      <c r="C1428" s="27"/>
      <c r="D1428" s="28"/>
    </row>
    <row r="1429" spans="1:4" ht="12.75">
      <c r="A1429" s="26"/>
      <c r="B1429" s="27"/>
      <c r="C1429" s="27"/>
      <c r="D1429" s="28"/>
    </row>
    <row r="1430" spans="1:4" ht="12.75">
      <c r="A1430" s="26"/>
      <c r="B1430" s="27"/>
      <c r="C1430" s="27"/>
      <c r="D1430" s="28"/>
    </row>
    <row r="1431" spans="1:4" ht="12.75">
      <c r="A1431" s="26"/>
      <c r="B1431" s="27"/>
      <c r="C1431" s="27"/>
      <c r="D1431" s="28"/>
    </row>
    <row r="1432" spans="1:4" ht="12.75">
      <c r="A1432" s="26"/>
      <c r="B1432" s="27"/>
      <c r="C1432" s="27"/>
      <c r="D1432" s="28"/>
    </row>
    <row r="1433" spans="1:4" ht="12.75">
      <c r="A1433" s="26"/>
      <c r="B1433" s="27"/>
      <c r="C1433" s="27"/>
      <c r="D1433" s="28"/>
    </row>
    <row r="1434" spans="1:4" ht="12.75">
      <c r="A1434" s="26"/>
      <c r="B1434" s="27"/>
      <c r="C1434" s="27"/>
      <c r="D1434" s="28"/>
    </row>
    <row r="1435" spans="1:4" ht="12.75">
      <c r="A1435" s="26"/>
      <c r="B1435" s="27"/>
      <c r="C1435" s="27"/>
      <c r="D1435" s="28"/>
    </row>
    <row r="1436" spans="1:4" ht="12.75">
      <c r="A1436" s="26"/>
      <c r="B1436" s="27"/>
      <c r="C1436" s="27"/>
      <c r="D1436" s="28"/>
    </row>
    <row r="1437" spans="1:4" ht="12.75">
      <c r="A1437" s="26"/>
      <c r="B1437" s="27"/>
      <c r="C1437" s="27"/>
      <c r="D1437" s="28"/>
    </row>
    <row r="1438" spans="1:4" ht="12.75">
      <c r="A1438" s="26"/>
      <c r="B1438" s="27"/>
      <c r="C1438" s="27"/>
      <c r="D1438" s="28"/>
    </row>
    <row r="1439" spans="1:4" ht="12.75">
      <c r="A1439" s="26"/>
      <c r="B1439" s="27"/>
      <c r="C1439" s="27"/>
      <c r="D1439" s="28"/>
    </row>
    <row r="1440" spans="1:4" ht="12.75">
      <c r="A1440" s="26"/>
      <c r="B1440" s="27"/>
      <c r="C1440" s="27"/>
      <c r="D1440" s="28"/>
    </row>
    <row r="1441" spans="1:4" ht="12.75">
      <c r="A1441" s="26"/>
      <c r="B1441" s="27"/>
      <c r="C1441" s="27"/>
      <c r="D1441" s="28"/>
    </row>
    <row r="1442" spans="1:4" ht="12.75">
      <c r="A1442" s="26"/>
      <c r="B1442" s="27"/>
      <c r="C1442" s="27"/>
      <c r="D1442" s="28"/>
    </row>
    <row r="1443" spans="1:4" ht="12.75">
      <c r="A1443" s="26"/>
      <c r="B1443" s="27"/>
      <c r="C1443" s="27"/>
      <c r="D1443" s="28"/>
    </row>
    <row r="1444" spans="1:4" ht="12.75">
      <c r="A1444" s="26"/>
      <c r="B1444" s="27"/>
      <c r="C1444" s="27"/>
      <c r="D1444" s="28"/>
    </row>
    <row r="1445" spans="1:4" ht="12.75">
      <c r="A1445" s="26"/>
      <c r="B1445" s="27"/>
      <c r="C1445" s="27"/>
      <c r="D1445" s="28"/>
    </row>
    <row r="1446" spans="1:4" ht="12.75">
      <c r="A1446" s="26"/>
      <c r="B1446" s="27"/>
      <c r="C1446" s="27"/>
      <c r="D1446" s="28"/>
    </row>
    <row r="1447" spans="1:4" ht="12.75">
      <c r="A1447" s="26"/>
      <c r="B1447" s="27"/>
      <c r="C1447" s="27"/>
      <c r="D1447" s="28"/>
    </row>
    <row r="1448" spans="1:4" ht="12.75">
      <c r="A1448" s="26"/>
      <c r="B1448" s="27"/>
      <c r="C1448" s="27"/>
      <c r="D1448" s="28"/>
    </row>
    <row r="1449" spans="1:4" ht="12.75">
      <c r="A1449" s="26"/>
      <c r="B1449" s="27"/>
      <c r="C1449" s="27"/>
      <c r="D1449" s="28"/>
    </row>
    <row r="1450" spans="1:4" ht="12.75">
      <c r="A1450" s="26"/>
      <c r="B1450" s="27"/>
      <c r="C1450" s="27"/>
      <c r="D1450" s="28"/>
    </row>
    <row r="1451" spans="1:4" ht="12.75">
      <c r="A1451" s="26"/>
      <c r="B1451" s="27"/>
      <c r="C1451" s="27"/>
      <c r="D1451" s="28"/>
    </row>
    <row r="1452" spans="1:4" ht="12.75">
      <c r="A1452" s="26"/>
      <c r="B1452" s="27"/>
      <c r="C1452" s="27"/>
      <c r="D1452" s="28"/>
    </row>
    <row r="1453" spans="1:4" ht="12.75">
      <c r="A1453" s="26"/>
      <c r="B1453" s="27"/>
      <c r="C1453" s="27"/>
      <c r="D1453" s="28"/>
    </row>
    <row r="1454" spans="1:4" ht="12.75">
      <c r="A1454" s="26"/>
      <c r="B1454" s="27"/>
      <c r="C1454" s="27"/>
      <c r="D1454" s="28"/>
    </row>
    <row r="1455" spans="1:4" ht="12.75">
      <c r="A1455" s="26"/>
      <c r="B1455" s="27"/>
      <c r="C1455" s="27"/>
      <c r="D1455" s="28"/>
    </row>
    <row r="1456" spans="1:4" ht="12.75">
      <c r="A1456" s="26"/>
      <c r="B1456" s="27"/>
      <c r="C1456" s="27"/>
      <c r="D1456" s="28"/>
    </row>
    <row r="1457" spans="1:4" ht="12.75">
      <c r="A1457" s="26"/>
      <c r="B1457" s="27"/>
      <c r="C1457" s="27"/>
      <c r="D1457" s="28"/>
    </row>
    <row r="1458" spans="1:4" ht="12.75">
      <c r="A1458" s="26"/>
      <c r="B1458" s="27"/>
      <c r="C1458" s="27"/>
      <c r="D1458" s="28"/>
    </row>
    <row r="1459" spans="1:4" ht="12.75">
      <c r="A1459" s="26"/>
      <c r="B1459" s="27"/>
      <c r="C1459" s="27"/>
      <c r="D1459" s="28"/>
    </row>
    <row r="1460" spans="1:4" ht="12.75">
      <c r="A1460" s="26"/>
      <c r="B1460" s="27"/>
      <c r="C1460" s="27"/>
      <c r="D1460" s="28"/>
    </row>
    <row r="1461" spans="1:4" ht="12.75">
      <c r="A1461" s="26"/>
      <c r="B1461" s="27"/>
      <c r="C1461" s="27"/>
      <c r="D1461" s="28"/>
    </row>
    <row r="1462" spans="1:4" ht="12.75">
      <c r="A1462" s="26"/>
      <c r="B1462" s="27"/>
      <c r="C1462" s="27"/>
      <c r="D1462" s="28"/>
    </row>
    <row r="1463" spans="1:4" ht="12.75">
      <c r="A1463" s="26"/>
      <c r="B1463" s="27"/>
      <c r="C1463" s="27"/>
      <c r="D1463" s="28"/>
    </row>
    <row r="1464" spans="1:4" ht="12.75">
      <c r="A1464" s="26"/>
      <c r="B1464" s="27"/>
      <c r="C1464" s="27"/>
      <c r="D1464" s="28"/>
    </row>
    <row r="1465" spans="1:4" ht="12.75">
      <c r="A1465" s="26"/>
      <c r="B1465" s="27"/>
      <c r="C1465" s="27"/>
      <c r="D1465" s="28"/>
    </row>
    <row r="1466" spans="1:4" ht="12.75">
      <c r="A1466" s="26"/>
      <c r="B1466" s="27"/>
      <c r="C1466" s="27"/>
      <c r="D1466" s="28"/>
    </row>
    <row r="1467" spans="1:4" ht="12.75">
      <c r="A1467" s="26"/>
      <c r="B1467" s="27"/>
      <c r="C1467" s="27"/>
      <c r="D1467" s="28"/>
    </row>
    <row r="1468" spans="1:4" ht="12.75">
      <c r="A1468" s="26"/>
      <c r="B1468" s="27"/>
      <c r="C1468" s="27"/>
      <c r="D1468" s="28"/>
    </row>
    <row r="1469" spans="1:4" ht="12.75">
      <c r="A1469" s="26"/>
      <c r="B1469" s="27"/>
      <c r="C1469" s="27"/>
      <c r="D1469" s="28"/>
    </row>
    <row r="1470" spans="1:4" ht="12.75">
      <c r="A1470" s="26"/>
      <c r="B1470" s="27"/>
      <c r="C1470" s="27"/>
      <c r="D1470" s="28"/>
    </row>
    <row r="1471" spans="1:4" ht="12.75">
      <c r="A1471" s="26"/>
      <c r="B1471" s="27"/>
      <c r="C1471" s="27"/>
      <c r="D1471" s="28"/>
    </row>
    <row r="1472" spans="1:4" ht="12.75">
      <c r="A1472" s="26"/>
      <c r="B1472" s="27"/>
      <c r="C1472" s="27"/>
      <c r="D1472" s="28"/>
    </row>
    <row r="1473" spans="1:4" ht="12.75">
      <c r="A1473" s="26"/>
      <c r="B1473" s="27"/>
      <c r="C1473" s="27"/>
      <c r="D1473" s="28"/>
    </row>
    <row r="1474" spans="1:4" ht="12.75">
      <c r="A1474" s="26"/>
      <c r="B1474" s="27"/>
      <c r="C1474" s="27"/>
      <c r="D1474" s="28"/>
    </row>
    <row r="1475" spans="1:4" ht="12.75">
      <c r="A1475" s="26"/>
      <c r="B1475" s="27"/>
      <c r="C1475" s="27"/>
      <c r="D1475" s="28"/>
    </row>
    <row r="1476" spans="1:4" ht="12.75">
      <c r="A1476" s="26"/>
      <c r="B1476" s="27"/>
      <c r="C1476" s="27"/>
      <c r="D1476" s="28"/>
    </row>
    <row r="1477" spans="1:4" ht="12.75">
      <c r="A1477" s="26"/>
      <c r="B1477" s="27"/>
      <c r="C1477" s="27"/>
      <c r="D1477" s="28"/>
    </row>
    <row r="1478" spans="1:4" ht="12.75">
      <c r="A1478" s="26"/>
      <c r="B1478" s="27"/>
      <c r="C1478" s="27"/>
      <c r="D1478" s="28"/>
    </row>
    <row r="1479" spans="1:4" ht="12.75">
      <c r="A1479" s="26"/>
      <c r="B1479" s="27"/>
      <c r="C1479" s="27"/>
      <c r="D1479" s="28"/>
    </row>
    <row r="1480" spans="1:4" ht="12.75">
      <c r="A1480" s="26"/>
      <c r="B1480" s="27"/>
      <c r="C1480" s="27"/>
      <c r="D1480" s="28"/>
    </row>
    <row r="1481" spans="1:4" ht="12.75">
      <c r="A1481" s="26"/>
      <c r="B1481" s="27"/>
      <c r="C1481" s="27"/>
      <c r="D1481" s="28"/>
    </row>
    <row r="1482" spans="1:4" ht="12.75">
      <c r="A1482" s="26"/>
      <c r="B1482" s="27"/>
      <c r="C1482" s="27"/>
      <c r="D1482" s="28"/>
    </row>
    <row r="1483" spans="1:4" ht="12.75">
      <c r="A1483" s="26"/>
      <c r="B1483" s="27"/>
      <c r="C1483" s="27"/>
      <c r="D1483" s="28"/>
    </row>
    <row r="1484" spans="1:4" ht="12.75">
      <c r="A1484" s="26"/>
      <c r="B1484" s="27"/>
      <c r="C1484" s="27"/>
      <c r="D1484" s="28"/>
    </row>
    <row r="1485" spans="1:4" ht="12.75">
      <c r="A1485" s="26"/>
      <c r="B1485" s="27"/>
      <c r="C1485" s="27"/>
      <c r="D1485" s="28"/>
    </row>
    <row r="1486" spans="1:4" ht="12.75">
      <c r="A1486" s="26"/>
      <c r="B1486" s="27"/>
      <c r="C1486" s="27"/>
      <c r="D1486" s="28"/>
    </row>
    <row r="1487" spans="1:4" ht="12.75">
      <c r="A1487" s="26"/>
      <c r="B1487" s="27"/>
      <c r="C1487" s="27"/>
      <c r="D1487" s="28"/>
    </row>
    <row r="1488" spans="1:4" ht="12.75">
      <c r="A1488" s="26"/>
      <c r="B1488" s="27"/>
      <c r="C1488" s="27"/>
      <c r="D1488" s="28"/>
    </row>
    <row r="1489" spans="1:4" ht="12.75">
      <c r="A1489" s="26"/>
      <c r="B1489" s="27"/>
      <c r="C1489" s="27"/>
      <c r="D1489" s="28"/>
    </row>
    <row r="1490" spans="1:4" ht="12.75">
      <c r="A1490" s="26"/>
      <c r="B1490" s="27"/>
      <c r="C1490" s="27"/>
      <c r="D1490" s="28"/>
    </row>
    <row r="1491" spans="1:4" ht="12.75">
      <c r="A1491" s="26"/>
      <c r="B1491" s="27"/>
      <c r="C1491" s="27"/>
      <c r="D1491" s="28"/>
    </row>
    <row r="1492" spans="1:4" ht="12.75">
      <c r="A1492" s="26"/>
      <c r="B1492" s="27"/>
      <c r="C1492" s="27"/>
      <c r="D1492" s="28"/>
    </row>
    <row r="1493" spans="1:4" ht="12.75">
      <c r="A1493" s="26"/>
      <c r="B1493" s="27"/>
      <c r="C1493" s="27"/>
      <c r="D1493" s="28"/>
    </row>
    <row r="1494" spans="1:4" ht="12.75">
      <c r="A1494" s="26"/>
      <c r="B1494" s="27"/>
      <c r="C1494" s="27"/>
      <c r="D1494" s="28"/>
    </row>
    <row r="1495" spans="1:4" ht="12.75">
      <c r="A1495" s="26"/>
      <c r="B1495" s="27"/>
      <c r="C1495" s="27"/>
      <c r="D1495" s="28"/>
    </row>
    <row r="1496" spans="1:4" ht="12.75">
      <c r="A1496" s="26"/>
      <c r="B1496" s="27"/>
      <c r="C1496" s="27"/>
      <c r="D1496" s="28"/>
    </row>
    <row r="1497" spans="1:4" ht="12.75">
      <c r="A1497" s="26"/>
      <c r="B1497" s="27"/>
      <c r="C1497" s="27"/>
      <c r="D1497" s="28"/>
    </row>
    <row r="1498" spans="1:4" ht="12.75">
      <c r="A1498" s="26"/>
      <c r="B1498" s="27"/>
      <c r="C1498" s="27"/>
      <c r="D1498" s="28"/>
    </row>
    <row r="1499" spans="1:4" ht="12.75">
      <c r="A1499" s="26"/>
      <c r="B1499" s="27"/>
      <c r="C1499" s="27"/>
      <c r="D1499" s="28"/>
    </row>
    <row r="1500" spans="1:4" ht="12.75">
      <c r="A1500" s="26"/>
      <c r="B1500" s="27"/>
      <c r="C1500" s="27"/>
      <c r="D1500" s="28"/>
    </row>
    <row r="1501" spans="1:4" ht="12.75">
      <c r="A1501" s="26"/>
      <c r="B1501" s="27"/>
      <c r="C1501" s="27"/>
      <c r="D1501" s="28"/>
    </row>
    <row r="1502" spans="1:4" ht="12.75">
      <c r="A1502" s="26"/>
      <c r="B1502" s="27"/>
      <c r="C1502" s="27"/>
      <c r="D1502" s="28"/>
    </row>
    <row r="1503" spans="1:4" ht="12.75">
      <c r="A1503" s="26"/>
      <c r="B1503" s="27"/>
      <c r="C1503" s="27"/>
      <c r="D1503" s="28"/>
    </row>
    <row r="1504" spans="1:4" ht="12.75">
      <c r="A1504" s="26"/>
      <c r="B1504" s="27"/>
      <c r="C1504" s="27"/>
      <c r="D1504" s="28"/>
    </row>
    <row r="1505" spans="1:4" ht="12.75">
      <c r="A1505" s="26"/>
      <c r="B1505" s="27"/>
      <c r="C1505" s="27"/>
      <c r="D1505" s="28"/>
    </row>
    <row r="1506" spans="1:4" ht="12.75">
      <c r="A1506" s="26"/>
      <c r="B1506" s="27"/>
      <c r="C1506" s="27"/>
      <c r="D1506" s="28"/>
    </row>
    <row r="1507" spans="1:4" ht="12.75">
      <c r="A1507" s="26"/>
      <c r="B1507" s="27"/>
      <c r="C1507" s="27"/>
      <c r="D1507" s="28"/>
    </row>
    <row r="1508" spans="1:4" ht="12.75">
      <c r="A1508" s="26"/>
      <c r="B1508" s="27"/>
      <c r="C1508" s="27"/>
      <c r="D1508" s="28"/>
    </row>
    <row r="1509" spans="1:4" ht="12.75">
      <c r="A1509" s="26"/>
      <c r="B1509" s="27"/>
      <c r="C1509" s="27"/>
      <c r="D1509" s="28"/>
    </row>
    <row r="1510" spans="1:4" ht="12.75">
      <c r="A1510" s="26"/>
      <c r="B1510" s="27"/>
      <c r="C1510" s="27"/>
      <c r="D1510" s="28"/>
    </row>
    <row r="1511" spans="1:4" ht="12.75">
      <c r="A1511" s="26"/>
      <c r="B1511" s="27"/>
      <c r="C1511" s="27"/>
      <c r="D1511" s="28"/>
    </row>
    <row r="1512" spans="1:4" ht="12.75">
      <c r="A1512" s="26"/>
      <c r="B1512" s="27"/>
      <c r="C1512" s="27"/>
      <c r="D1512" s="28"/>
    </row>
    <row r="1513" spans="1:4" ht="12.75">
      <c r="A1513" s="26"/>
      <c r="B1513" s="27"/>
      <c r="C1513" s="27"/>
      <c r="D1513" s="28"/>
    </row>
    <row r="1514" spans="1:4" ht="12.75">
      <c r="A1514" s="26"/>
      <c r="B1514" s="27"/>
      <c r="C1514" s="27"/>
      <c r="D1514" s="28"/>
    </row>
    <row r="1515" spans="1:4" ht="12.75">
      <c r="A1515" s="26"/>
      <c r="B1515" s="27"/>
      <c r="C1515" s="27"/>
      <c r="D1515" s="28"/>
    </row>
    <row r="1516" spans="1:4" ht="12.75">
      <c r="A1516" s="26"/>
      <c r="B1516" s="27"/>
      <c r="C1516" s="27"/>
      <c r="D1516" s="28"/>
    </row>
    <row r="1517" spans="1:4" ht="12.75">
      <c r="A1517" s="26"/>
      <c r="B1517" s="27"/>
      <c r="C1517" s="27"/>
      <c r="D1517" s="28"/>
    </row>
    <row r="1518" spans="1:4" ht="12.75">
      <c r="A1518" s="26"/>
      <c r="B1518" s="27"/>
      <c r="C1518" s="27"/>
      <c r="D1518" s="28"/>
    </row>
    <row r="1519" spans="1:4" ht="12.75">
      <c r="A1519" s="26"/>
      <c r="B1519" s="27"/>
      <c r="C1519" s="27"/>
      <c r="D1519" s="28"/>
    </row>
    <row r="1520" spans="1:4" ht="12.75">
      <c r="A1520" s="26"/>
      <c r="B1520" s="27"/>
      <c r="C1520" s="27"/>
      <c r="D1520" s="28"/>
    </row>
    <row r="1521" spans="1:4" ht="12.75">
      <c r="A1521" s="26"/>
      <c r="B1521" s="27"/>
      <c r="C1521" s="27"/>
      <c r="D1521" s="28"/>
    </row>
    <row r="1522" spans="1:4" ht="12.75">
      <c r="A1522" s="26"/>
      <c r="B1522" s="27"/>
      <c r="C1522" s="27"/>
      <c r="D1522" s="28"/>
    </row>
    <row r="1523" spans="1:4" ht="12.75">
      <c r="A1523" s="26"/>
      <c r="B1523" s="27"/>
      <c r="C1523" s="27"/>
      <c r="D1523" s="28"/>
    </row>
    <row r="1524" spans="1:4" ht="12.75">
      <c r="A1524" s="26"/>
      <c r="B1524" s="27"/>
      <c r="C1524" s="27"/>
      <c r="D1524" s="28"/>
    </row>
    <row r="1525" spans="1:4" ht="12.75">
      <c r="A1525" s="26"/>
      <c r="B1525" s="27"/>
      <c r="C1525" s="27"/>
      <c r="D1525" s="28"/>
    </row>
    <row r="1526" spans="1:4" ht="12.75">
      <c r="A1526" s="26"/>
      <c r="B1526" s="27"/>
      <c r="C1526" s="27"/>
      <c r="D1526" s="28"/>
    </row>
    <row r="1527" spans="1:4" ht="12.75">
      <c r="A1527" s="26"/>
      <c r="B1527" s="27"/>
      <c r="C1527" s="27"/>
      <c r="D1527" s="28"/>
    </row>
    <row r="1528" spans="1:4" ht="12.75">
      <c r="A1528" s="26"/>
      <c r="B1528" s="27"/>
      <c r="C1528" s="27"/>
      <c r="D1528" s="28"/>
    </row>
    <row r="1529" spans="1:4" ht="12.75">
      <c r="A1529" s="26"/>
      <c r="B1529" s="27"/>
      <c r="C1529" s="27"/>
      <c r="D1529" s="28"/>
    </row>
    <row r="1530" spans="1:4" ht="12.75">
      <c r="A1530" s="26"/>
      <c r="B1530" s="27"/>
      <c r="C1530" s="27"/>
      <c r="D1530" s="28"/>
    </row>
    <row r="1531" spans="1:4" ht="12.75">
      <c r="A1531" s="26"/>
      <c r="B1531" s="27"/>
      <c r="C1531" s="27"/>
      <c r="D1531" s="28"/>
    </row>
    <row r="1532" spans="1:4" ht="12.75">
      <c r="A1532" s="26"/>
      <c r="B1532" s="27"/>
      <c r="C1532" s="27"/>
      <c r="D1532" s="28"/>
    </row>
    <row r="1533" spans="1:4" ht="12.75">
      <c r="A1533" s="26"/>
      <c r="B1533" s="27"/>
      <c r="C1533" s="27"/>
      <c r="D1533" s="28"/>
    </row>
    <row r="1534" spans="1:4" ht="12.75">
      <c r="A1534" s="26"/>
      <c r="B1534" s="27"/>
      <c r="C1534" s="27"/>
      <c r="D1534" s="28"/>
    </row>
    <row r="1535" spans="1:4" ht="12.75">
      <c r="A1535" s="26"/>
      <c r="B1535" s="27"/>
      <c r="C1535" s="27"/>
      <c r="D1535" s="28"/>
    </row>
    <row r="1536" spans="1:4" ht="12.75">
      <c r="A1536" s="26"/>
      <c r="B1536" s="27"/>
      <c r="C1536" s="27"/>
      <c r="D1536" s="28"/>
    </row>
    <row r="1537" spans="1:4" ht="12.75">
      <c r="A1537" s="26"/>
      <c r="B1537" s="27"/>
      <c r="C1537" s="27"/>
      <c r="D1537" s="28"/>
    </row>
    <row r="1538" spans="1:4" ht="12.75">
      <c r="A1538" s="26"/>
      <c r="B1538" s="27"/>
      <c r="C1538" s="27"/>
      <c r="D1538" s="28"/>
    </row>
    <row r="1539" spans="1:4" ht="12.75">
      <c r="A1539" s="26"/>
      <c r="B1539" s="27"/>
      <c r="C1539" s="27"/>
      <c r="D1539" s="28"/>
    </row>
    <row r="1540" spans="1:4" ht="12.75">
      <c r="A1540" s="26"/>
      <c r="B1540" s="27"/>
      <c r="C1540" s="27"/>
      <c r="D1540" s="28"/>
    </row>
    <row r="1541" spans="1:4" ht="12.75">
      <c r="A1541" s="26"/>
      <c r="B1541" s="27"/>
      <c r="C1541" s="27"/>
      <c r="D1541" s="28"/>
    </row>
    <row r="1542" spans="1:4" ht="12.75">
      <c r="A1542" s="26"/>
      <c r="B1542" s="27"/>
      <c r="C1542" s="27"/>
      <c r="D1542" s="28"/>
    </row>
    <row r="1543" spans="1:4" ht="12.75">
      <c r="A1543" s="26"/>
      <c r="B1543" s="27"/>
      <c r="C1543" s="27"/>
      <c r="D1543" s="28"/>
    </row>
  </sheetData>
  <sheetProtection password="C795" sheet="1" objects="1" scenarios="1"/>
  <autoFilter ref="B1:B65536"/>
  <printOptions/>
  <pageMargins left="0.75" right="0.75" top="1" bottom="1"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Tabelle30"/>
  <dimension ref="A1:L42"/>
  <sheetViews>
    <sheetView workbookViewId="0" topLeftCell="A1">
      <selection activeCell="C2" sqref="C2"/>
    </sheetView>
  </sheetViews>
  <sheetFormatPr defaultColWidth="11.421875" defaultRowHeight="12.75"/>
  <cols>
    <col min="1" max="1" width="14.421875" style="59" customWidth="1"/>
    <col min="2" max="2" width="0.13671875" style="0" customWidth="1"/>
    <col min="3" max="12" width="8.00390625" style="0" customWidth="1"/>
    <col min="13" max="13" width="9.7109375" style="0" customWidth="1"/>
  </cols>
  <sheetData>
    <row r="1" spans="1:12" ht="18" customHeight="1" thickBot="1" thickTop="1">
      <c r="A1" s="30"/>
      <c r="B1" s="31"/>
      <c r="C1" s="32" t="s">
        <v>2457</v>
      </c>
      <c r="D1" s="32" t="s">
        <v>2458</v>
      </c>
      <c r="E1" s="32" t="s">
        <v>2459</v>
      </c>
      <c r="F1" s="32" t="s">
        <v>2460</v>
      </c>
      <c r="G1" s="32" t="s">
        <v>2461</v>
      </c>
      <c r="H1" s="32" t="s">
        <v>2462</v>
      </c>
      <c r="I1" s="32" t="s">
        <v>2463</v>
      </c>
      <c r="J1" s="32" t="s">
        <v>2464</v>
      </c>
      <c r="K1" s="33" t="s">
        <v>2465</v>
      </c>
      <c r="L1" s="34" t="s">
        <v>2466</v>
      </c>
    </row>
    <row r="2" spans="1:12" ht="18" customHeight="1">
      <c r="A2" s="35"/>
      <c r="B2" s="36"/>
      <c r="C2" s="37">
        <v>1</v>
      </c>
      <c r="D2" s="37">
        <v>2</v>
      </c>
      <c r="E2" s="37">
        <v>3</v>
      </c>
      <c r="F2" s="37">
        <v>4</v>
      </c>
      <c r="G2" s="37">
        <v>5</v>
      </c>
      <c r="H2" s="37">
        <v>6</v>
      </c>
      <c r="I2" s="37">
        <v>7</v>
      </c>
      <c r="J2" s="37">
        <v>8</v>
      </c>
      <c r="K2" s="37">
        <v>9</v>
      </c>
      <c r="L2" s="38">
        <v>10</v>
      </c>
    </row>
    <row r="3" spans="1:12" ht="18" customHeight="1">
      <c r="A3" s="39" t="s">
        <v>1118</v>
      </c>
      <c r="B3" s="40"/>
      <c r="C3" s="41">
        <v>11</v>
      </c>
      <c r="D3" s="41">
        <v>12</v>
      </c>
      <c r="E3" s="41">
        <v>13</v>
      </c>
      <c r="F3" s="41">
        <v>14</v>
      </c>
      <c r="G3" s="41">
        <v>15</v>
      </c>
      <c r="H3" s="41">
        <v>16</v>
      </c>
      <c r="I3" s="41">
        <v>17</v>
      </c>
      <c r="J3" s="41">
        <v>18</v>
      </c>
      <c r="K3" s="41">
        <v>19</v>
      </c>
      <c r="L3" s="42">
        <v>20</v>
      </c>
    </row>
    <row r="4" spans="1:12" ht="18" customHeight="1" thickBot="1">
      <c r="A4" s="43"/>
      <c r="B4" s="44"/>
      <c r="C4" s="45">
        <v>21</v>
      </c>
      <c r="D4" s="45">
        <v>22</v>
      </c>
      <c r="E4" s="45">
        <v>23</v>
      </c>
      <c r="F4" s="45">
        <v>24</v>
      </c>
      <c r="G4" s="45">
        <v>25</v>
      </c>
      <c r="H4" s="45">
        <v>26</v>
      </c>
      <c r="I4" s="45">
        <v>27</v>
      </c>
      <c r="J4" s="45">
        <v>28</v>
      </c>
      <c r="K4" s="45">
        <v>29</v>
      </c>
      <c r="L4" s="46">
        <v>30</v>
      </c>
    </row>
    <row r="5" spans="1:12" ht="18" customHeight="1" thickBot="1">
      <c r="A5" s="47" t="s">
        <v>2467</v>
      </c>
      <c r="B5" s="48"/>
      <c r="C5" s="49"/>
      <c r="D5" s="49"/>
      <c r="E5" s="49"/>
      <c r="F5" s="49"/>
      <c r="G5" s="49"/>
      <c r="H5" s="49"/>
      <c r="I5" s="49"/>
      <c r="J5" s="49"/>
      <c r="K5" s="49"/>
      <c r="L5" s="50"/>
    </row>
    <row r="6" spans="1:12" ht="18" customHeight="1">
      <c r="A6" s="35"/>
      <c r="B6" s="36">
        <v>1</v>
      </c>
      <c r="C6" s="37">
        <v>1</v>
      </c>
      <c r="D6" s="37">
        <v>2</v>
      </c>
      <c r="E6" s="37">
        <v>3</v>
      </c>
      <c r="F6" s="37">
        <v>4</v>
      </c>
      <c r="G6" s="37">
        <v>5</v>
      </c>
      <c r="H6" s="37">
        <v>6</v>
      </c>
      <c r="I6" s="37">
        <v>7</v>
      </c>
      <c r="J6" s="37">
        <v>8</v>
      </c>
      <c r="K6" s="37">
        <v>9</v>
      </c>
      <c r="L6" s="38">
        <v>10</v>
      </c>
    </row>
    <row r="7" spans="1:12" ht="18" customHeight="1">
      <c r="A7" s="39" t="s">
        <v>2468</v>
      </c>
      <c r="B7" s="40">
        <v>2</v>
      </c>
      <c r="C7" s="41">
        <v>11</v>
      </c>
      <c r="D7" s="41">
        <v>12</v>
      </c>
      <c r="E7" s="41">
        <v>13</v>
      </c>
      <c r="F7" s="41">
        <v>14</v>
      </c>
      <c r="G7" s="41">
        <v>15</v>
      </c>
      <c r="H7" s="41">
        <v>16</v>
      </c>
      <c r="I7" s="41">
        <v>17</v>
      </c>
      <c r="J7" s="41">
        <v>18</v>
      </c>
      <c r="K7" s="41">
        <v>19</v>
      </c>
      <c r="L7" s="42">
        <v>20</v>
      </c>
    </row>
    <row r="8" spans="1:12" ht="18" customHeight="1" thickBot="1">
      <c r="A8" s="43"/>
      <c r="B8" s="44">
        <v>3</v>
      </c>
      <c r="C8" s="45">
        <v>21</v>
      </c>
      <c r="D8" s="45">
        <v>22</v>
      </c>
      <c r="E8" s="45">
        <v>23</v>
      </c>
      <c r="F8" s="45">
        <v>24</v>
      </c>
      <c r="G8" s="45">
        <v>25</v>
      </c>
      <c r="H8" s="45">
        <v>26</v>
      </c>
      <c r="I8" s="45">
        <v>27</v>
      </c>
      <c r="J8" s="45">
        <v>28</v>
      </c>
      <c r="K8" s="45">
        <v>29</v>
      </c>
      <c r="L8" s="46">
        <v>30</v>
      </c>
    </row>
    <row r="9" spans="1:12" ht="18" customHeight="1">
      <c r="A9" s="35"/>
      <c r="B9" s="36">
        <v>1</v>
      </c>
      <c r="C9" s="37">
        <v>1</v>
      </c>
      <c r="D9" s="37">
        <v>2</v>
      </c>
      <c r="E9" s="37">
        <v>3</v>
      </c>
      <c r="F9" s="37">
        <v>4</v>
      </c>
      <c r="G9" s="37">
        <v>5</v>
      </c>
      <c r="H9" s="37">
        <v>6</v>
      </c>
      <c r="I9" s="37">
        <v>7</v>
      </c>
      <c r="J9" s="37">
        <v>8</v>
      </c>
      <c r="K9" s="37">
        <v>9</v>
      </c>
      <c r="L9" s="38">
        <v>10</v>
      </c>
    </row>
    <row r="10" spans="1:12" ht="18" customHeight="1">
      <c r="A10" s="39" t="s">
        <v>2469</v>
      </c>
      <c r="B10" s="40">
        <v>2</v>
      </c>
      <c r="C10" s="41">
        <v>11</v>
      </c>
      <c r="D10" s="41">
        <v>12</v>
      </c>
      <c r="E10" s="41">
        <v>13</v>
      </c>
      <c r="F10" s="41">
        <v>14</v>
      </c>
      <c r="G10" s="41">
        <v>15</v>
      </c>
      <c r="H10" s="41">
        <v>16</v>
      </c>
      <c r="I10" s="41">
        <v>17</v>
      </c>
      <c r="J10" s="41">
        <v>18</v>
      </c>
      <c r="K10" s="41">
        <v>19</v>
      </c>
      <c r="L10" s="42">
        <v>20</v>
      </c>
    </row>
    <row r="11" spans="1:12" ht="18" customHeight="1" thickBot="1">
      <c r="A11" s="43"/>
      <c r="B11" s="44">
        <v>3</v>
      </c>
      <c r="C11" s="45">
        <v>21</v>
      </c>
      <c r="D11" s="45">
        <v>22</v>
      </c>
      <c r="E11" s="45">
        <v>23</v>
      </c>
      <c r="F11" s="45">
        <v>24</v>
      </c>
      <c r="G11" s="45">
        <v>25</v>
      </c>
      <c r="H11" s="45">
        <v>26</v>
      </c>
      <c r="I11" s="45">
        <v>27</v>
      </c>
      <c r="J11" s="45">
        <v>28</v>
      </c>
      <c r="K11" s="45">
        <v>29</v>
      </c>
      <c r="L11" s="46">
        <v>30</v>
      </c>
    </row>
    <row r="12" spans="1:12" ht="18" customHeight="1">
      <c r="A12" s="35"/>
      <c r="B12" s="36">
        <v>1</v>
      </c>
      <c r="C12" s="37">
        <v>1</v>
      </c>
      <c r="D12" s="37">
        <v>2</v>
      </c>
      <c r="E12" s="37">
        <v>3</v>
      </c>
      <c r="F12" s="37">
        <v>4</v>
      </c>
      <c r="G12" s="37">
        <v>5</v>
      </c>
      <c r="H12" s="37">
        <v>6</v>
      </c>
      <c r="I12" s="37">
        <v>7</v>
      </c>
      <c r="J12" s="37">
        <v>8</v>
      </c>
      <c r="K12" s="37">
        <v>9</v>
      </c>
      <c r="L12" s="38">
        <v>10</v>
      </c>
    </row>
    <row r="13" spans="1:12" ht="18" customHeight="1">
      <c r="A13" s="39" t="s">
        <v>2470</v>
      </c>
      <c r="B13" s="40">
        <v>2</v>
      </c>
      <c r="C13" s="41">
        <v>11</v>
      </c>
      <c r="D13" s="41">
        <v>12</v>
      </c>
      <c r="E13" s="41">
        <v>13</v>
      </c>
      <c r="F13" s="41">
        <v>14</v>
      </c>
      <c r="G13" s="41">
        <v>15</v>
      </c>
      <c r="H13" s="41">
        <v>16</v>
      </c>
      <c r="I13" s="41">
        <v>17</v>
      </c>
      <c r="J13" s="41">
        <v>18</v>
      </c>
      <c r="K13" s="41">
        <v>19</v>
      </c>
      <c r="L13" s="42">
        <v>20</v>
      </c>
    </row>
    <row r="14" spans="1:12" ht="18" customHeight="1" thickBot="1">
      <c r="A14" s="43"/>
      <c r="B14" s="44">
        <v>3</v>
      </c>
      <c r="C14" s="45">
        <v>21</v>
      </c>
      <c r="D14" s="45">
        <v>22</v>
      </c>
      <c r="E14" s="45">
        <v>23</v>
      </c>
      <c r="F14" s="45">
        <v>24</v>
      </c>
      <c r="G14" s="45">
        <v>25</v>
      </c>
      <c r="H14" s="45">
        <v>26</v>
      </c>
      <c r="I14" s="45">
        <v>27</v>
      </c>
      <c r="J14" s="45">
        <v>28</v>
      </c>
      <c r="K14" s="45">
        <v>29</v>
      </c>
      <c r="L14" s="46">
        <v>30</v>
      </c>
    </row>
    <row r="15" spans="1:12" ht="18" customHeight="1" thickBot="1">
      <c r="A15" s="39" t="s">
        <v>2471</v>
      </c>
      <c r="B15" s="48"/>
      <c r="C15" s="51"/>
      <c r="D15" s="51"/>
      <c r="E15" s="51"/>
      <c r="F15" s="51"/>
      <c r="G15" s="51"/>
      <c r="H15" s="51"/>
      <c r="I15" s="51"/>
      <c r="J15" s="51"/>
      <c r="K15" s="51"/>
      <c r="L15" s="52"/>
    </row>
    <row r="16" spans="1:12" ht="18" customHeight="1">
      <c r="A16" s="53"/>
      <c r="B16" s="36">
        <v>1</v>
      </c>
      <c r="C16" s="37">
        <v>1</v>
      </c>
      <c r="D16" s="37">
        <v>2</v>
      </c>
      <c r="E16" s="37">
        <v>3</v>
      </c>
      <c r="F16" s="37">
        <v>4</v>
      </c>
      <c r="G16" s="37">
        <v>5</v>
      </c>
      <c r="H16" s="37">
        <v>6</v>
      </c>
      <c r="I16" s="37">
        <v>7</v>
      </c>
      <c r="J16" s="37">
        <v>8</v>
      </c>
      <c r="K16" s="37">
        <v>9</v>
      </c>
      <c r="L16" s="38">
        <v>10</v>
      </c>
    </row>
    <row r="17" spans="1:12" ht="18" customHeight="1">
      <c r="A17" s="39" t="s">
        <v>2472</v>
      </c>
      <c r="B17" s="40">
        <v>2</v>
      </c>
      <c r="C17" s="41">
        <v>11</v>
      </c>
      <c r="D17" s="41">
        <v>12</v>
      </c>
      <c r="E17" s="41">
        <v>13</v>
      </c>
      <c r="F17" s="41">
        <v>14</v>
      </c>
      <c r="G17" s="41">
        <v>15</v>
      </c>
      <c r="H17" s="41">
        <v>16</v>
      </c>
      <c r="I17" s="41">
        <v>17</v>
      </c>
      <c r="J17" s="41">
        <v>18</v>
      </c>
      <c r="K17" s="41">
        <v>19</v>
      </c>
      <c r="L17" s="42">
        <v>20</v>
      </c>
    </row>
    <row r="18" spans="1:12" ht="18" customHeight="1" thickBot="1">
      <c r="A18" s="43"/>
      <c r="B18" s="44">
        <v>3</v>
      </c>
      <c r="C18" s="45">
        <v>21</v>
      </c>
      <c r="D18" s="45">
        <v>22</v>
      </c>
      <c r="E18" s="45">
        <v>23</v>
      </c>
      <c r="F18" s="45">
        <v>24</v>
      </c>
      <c r="G18" s="45">
        <v>25</v>
      </c>
      <c r="H18" s="45">
        <v>26</v>
      </c>
      <c r="I18" s="45">
        <v>27</v>
      </c>
      <c r="J18" s="45">
        <v>28</v>
      </c>
      <c r="K18" s="45">
        <v>29</v>
      </c>
      <c r="L18" s="46">
        <v>30</v>
      </c>
    </row>
    <row r="19" spans="1:12" ht="18" customHeight="1">
      <c r="A19" s="35"/>
      <c r="B19" s="36">
        <v>1</v>
      </c>
      <c r="C19" s="37">
        <v>1</v>
      </c>
      <c r="D19" s="37">
        <v>2</v>
      </c>
      <c r="E19" s="37">
        <v>3</v>
      </c>
      <c r="F19" s="37">
        <v>4</v>
      </c>
      <c r="G19" s="37">
        <v>5</v>
      </c>
      <c r="H19" s="37">
        <v>6</v>
      </c>
      <c r="I19" s="37">
        <v>7</v>
      </c>
      <c r="J19" s="37">
        <v>8</v>
      </c>
      <c r="K19" s="37">
        <v>9</v>
      </c>
      <c r="L19" s="38">
        <v>10</v>
      </c>
    </row>
    <row r="20" spans="1:12" ht="18" customHeight="1">
      <c r="A20" s="39" t="s">
        <v>2473</v>
      </c>
      <c r="B20" s="40">
        <v>2</v>
      </c>
      <c r="C20" s="41">
        <v>11</v>
      </c>
      <c r="D20" s="41">
        <v>12</v>
      </c>
      <c r="E20" s="41">
        <v>13</v>
      </c>
      <c r="F20" s="41">
        <v>14</v>
      </c>
      <c r="G20" s="41">
        <v>15</v>
      </c>
      <c r="H20" s="41">
        <v>16</v>
      </c>
      <c r="I20" s="41">
        <v>17</v>
      </c>
      <c r="J20" s="41">
        <v>18</v>
      </c>
      <c r="K20" s="41">
        <v>19</v>
      </c>
      <c r="L20" s="42">
        <v>20</v>
      </c>
    </row>
    <row r="21" spans="1:12" ht="18" customHeight="1" thickBot="1">
      <c r="A21" s="43"/>
      <c r="B21" s="44">
        <v>3</v>
      </c>
      <c r="C21" s="45">
        <v>21</v>
      </c>
      <c r="D21" s="45">
        <v>22</v>
      </c>
      <c r="E21" s="45">
        <v>23</v>
      </c>
      <c r="F21" s="45">
        <v>24</v>
      </c>
      <c r="G21" s="45">
        <v>25</v>
      </c>
      <c r="H21" s="45">
        <v>26</v>
      </c>
      <c r="I21" s="45">
        <v>27</v>
      </c>
      <c r="J21" s="45">
        <v>28</v>
      </c>
      <c r="K21" s="45">
        <v>29</v>
      </c>
      <c r="L21" s="46">
        <v>30</v>
      </c>
    </row>
    <row r="22" spans="1:12" ht="18" customHeight="1">
      <c r="A22" s="35"/>
      <c r="B22" s="36">
        <v>1</v>
      </c>
      <c r="C22" s="37">
        <v>1</v>
      </c>
      <c r="D22" s="37">
        <v>2</v>
      </c>
      <c r="E22" s="37">
        <v>3</v>
      </c>
      <c r="F22" s="37">
        <v>4</v>
      </c>
      <c r="G22" s="37">
        <v>5</v>
      </c>
      <c r="H22" s="37">
        <v>6</v>
      </c>
      <c r="I22" s="37">
        <v>7</v>
      </c>
      <c r="J22" s="37">
        <v>8</v>
      </c>
      <c r="K22" s="37">
        <v>9</v>
      </c>
      <c r="L22" s="38">
        <v>10</v>
      </c>
    </row>
    <row r="23" spans="1:12" ht="18" customHeight="1">
      <c r="A23" s="39" t="s">
        <v>2474</v>
      </c>
      <c r="B23" s="40">
        <v>2</v>
      </c>
      <c r="C23" s="41">
        <v>11</v>
      </c>
      <c r="D23" s="41">
        <v>12</v>
      </c>
      <c r="E23" s="41">
        <v>13</v>
      </c>
      <c r="F23" s="41">
        <v>14</v>
      </c>
      <c r="G23" s="41">
        <v>15</v>
      </c>
      <c r="H23" s="41">
        <v>16</v>
      </c>
      <c r="I23" s="41">
        <v>17</v>
      </c>
      <c r="J23" s="41">
        <v>18</v>
      </c>
      <c r="K23" s="41">
        <v>19</v>
      </c>
      <c r="L23" s="42">
        <v>20</v>
      </c>
    </row>
    <row r="24" spans="1:12" ht="18" customHeight="1" thickBot="1">
      <c r="A24" s="43"/>
      <c r="B24" s="44">
        <v>3</v>
      </c>
      <c r="C24" s="45">
        <v>21</v>
      </c>
      <c r="D24" s="45">
        <v>22</v>
      </c>
      <c r="E24" s="45">
        <v>23</v>
      </c>
      <c r="F24" s="45">
        <v>24</v>
      </c>
      <c r="G24" s="45">
        <v>25</v>
      </c>
      <c r="H24" s="45">
        <v>26</v>
      </c>
      <c r="I24" s="45">
        <v>27</v>
      </c>
      <c r="J24" s="45">
        <v>28</v>
      </c>
      <c r="K24" s="45">
        <v>29</v>
      </c>
      <c r="L24" s="46">
        <v>30</v>
      </c>
    </row>
    <row r="25" spans="1:12" ht="18" customHeight="1" thickBot="1">
      <c r="A25" s="47" t="s">
        <v>2475</v>
      </c>
      <c r="B25" s="48"/>
      <c r="C25" s="51"/>
      <c r="D25" s="51"/>
      <c r="E25" s="51"/>
      <c r="F25" s="51"/>
      <c r="G25" s="51"/>
      <c r="H25" s="51"/>
      <c r="I25" s="51"/>
      <c r="J25" s="51"/>
      <c r="K25" s="51"/>
      <c r="L25" s="52"/>
    </row>
    <row r="26" spans="1:12" ht="18" customHeight="1">
      <c r="A26" s="35"/>
      <c r="B26" s="36">
        <v>1</v>
      </c>
      <c r="C26" s="37">
        <v>1</v>
      </c>
      <c r="D26" s="37">
        <v>2</v>
      </c>
      <c r="E26" s="37">
        <v>3</v>
      </c>
      <c r="F26" s="37">
        <v>4</v>
      </c>
      <c r="G26" s="37">
        <v>5</v>
      </c>
      <c r="H26" s="37">
        <v>6</v>
      </c>
      <c r="I26" s="37">
        <v>7</v>
      </c>
      <c r="J26" s="37">
        <v>8</v>
      </c>
      <c r="K26" s="37">
        <v>9</v>
      </c>
      <c r="L26" s="38">
        <v>10</v>
      </c>
    </row>
    <row r="27" spans="1:12" ht="18" customHeight="1">
      <c r="A27" s="39" t="s">
        <v>2476</v>
      </c>
      <c r="B27" s="40">
        <v>2</v>
      </c>
      <c r="C27" s="41">
        <v>11</v>
      </c>
      <c r="D27" s="41">
        <v>12</v>
      </c>
      <c r="E27" s="41">
        <v>13</v>
      </c>
      <c r="F27" s="41">
        <v>14</v>
      </c>
      <c r="G27" s="41">
        <v>15</v>
      </c>
      <c r="H27" s="41">
        <v>16</v>
      </c>
      <c r="I27" s="41">
        <v>17</v>
      </c>
      <c r="J27" s="41">
        <v>18</v>
      </c>
      <c r="K27" s="41">
        <v>19</v>
      </c>
      <c r="L27" s="42">
        <v>20</v>
      </c>
    </row>
    <row r="28" spans="1:12" ht="18" customHeight="1" thickBot="1">
      <c r="A28" s="43"/>
      <c r="B28" s="44">
        <v>3</v>
      </c>
      <c r="C28" s="45">
        <v>21</v>
      </c>
      <c r="D28" s="45">
        <v>22</v>
      </c>
      <c r="E28" s="45">
        <v>23</v>
      </c>
      <c r="F28" s="45">
        <v>24</v>
      </c>
      <c r="G28" s="45">
        <v>25</v>
      </c>
      <c r="H28" s="45">
        <v>26</v>
      </c>
      <c r="I28" s="45">
        <v>27</v>
      </c>
      <c r="J28" s="45">
        <v>28</v>
      </c>
      <c r="K28" s="45">
        <v>29</v>
      </c>
      <c r="L28" s="46">
        <v>30</v>
      </c>
    </row>
    <row r="29" spans="1:12" ht="18" customHeight="1">
      <c r="A29" s="35"/>
      <c r="B29" s="36">
        <v>1</v>
      </c>
      <c r="C29" s="37">
        <v>1</v>
      </c>
      <c r="D29" s="37">
        <v>2</v>
      </c>
      <c r="E29" s="37">
        <v>3</v>
      </c>
      <c r="F29" s="37">
        <v>4</v>
      </c>
      <c r="G29" s="37">
        <v>5</v>
      </c>
      <c r="H29" s="37">
        <v>6</v>
      </c>
      <c r="I29" s="37">
        <v>7</v>
      </c>
      <c r="J29" s="37">
        <v>8</v>
      </c>
      <c r="K29" s="37">
        <v>9</v>
      </c>
      <c r="L29" s="38">
        <v>10</v>
      </c>
    </row>
    <row r="30" spans="1:12" ht="18" customHeight="1">
      <c r="A30" s="39" t="s">
        <v>2477</v>
      </c>
      <c r="B30" s="40">
        <v>2</v>
      </c>
      <c r="C30" s="41">
        <v>11</v>
      </c>
      <c r="D30" s="41">
        <v>12</v>
      </c>
      <c r="E30" s="41">
        <v>13</v>
      </c>
      <c r="F30" s="41">
        <v>14</v>
      </c>
      <c r="G30" s="41">
        <v>15</v>
      </c>
      <c r="H30" s="41">
        <v>16</v>
      </c>
      <c r="I30" s="41">
        <v>17</v>
      </c>
      <c r="J30" s="41">
        <v>18</v>
      </c>
      <c r="K30" s="41">
        <v>19</v>
      </c>
      <c r="L30" s="42">
        <v>20</v>
      </c>
    </row>
    <row r="31" spans="1:12" ht="18" customHeight="1" thickBot="1">
      <c r="A31" s="43"/>
      <c r="B31" s="44">
        <v>3</v>
      </c>
      <c r="C31" s="45">
        <v>21</v>
      </c>
      <c r="D31" s="45">
        <v>22</v>
      </c>
      <c r="E31" s="45">
        <v>23</v>
      </c>
      <c r="F31" s="45">
        <v>24</v>
      </c>
      <c r="G31" s="45">
        <v>25</v>
      </c>
      <c r="H31" s="45">
        <v>26</v>
      </c>
      <c r="I31" s="45">
        <v>27</v>
      </c>
      <c r="J31" s="45">
        <v>28</v>
      </c>
      <c r="K31" s="45">
        <v>29</v>
      </c>
      <c r="L31" s="46">
        <v>30</v>
      </c>
    </row>
    <row r="32" spans="1:12" ht="18" customHeight="1" thickBot="1">
      <c r="A32" s="47" t="s">
        <v>2478</v>
      </c>
      <c r="B32" s="48"/>
      <c r="C32" s="51"/>
      <c r="D32" s="51"/>
      <c r="E32" s="51"/>
      <c r="F32" s="51"/>
      <c r="G32" s="51"/>
      <c r="H32" s="51"/>
      <c r="I32" s="51"/>
      <c r="J32" s="51"/>
      <c r="K32" s="51"/>
      <c r="L32" s="52"/>
    </row>
    <row r="33" spans="1:12" ht="18" customHeight="1">
      <c r="A33" s="35"/>
      <c r="B33" s="36">
        <v>1</v>
      </c>
      <c r="C33" s="37">
        <v>1</v>
      </c>
      <c r="D33" s="37">
        <v>2</v>
      </c>
      <c r="E33" s="37">
        <v>3</v>
      </c>
      <c r="F33" s="37">
        <v>4</v>
      </c>
      <c r="G33" s="37">
        <v>5</v>
      </c>
      <c r="H33" s="37">
        <v>6</v>
      </c>
      <c r="I33" s="37">
        <v>7</v>
      </c>
      <c r="J33" s="37">
        <v>8</v>
      </c>
      <c r="K33" s="37">
        <v>9</v>
      </c>
      <c r="L33" s="38">
        <v>10</v>
      </c>
    </row>
    <row r="34" spans="1:12" ht="18" customHeight="1">
      <c r="A34" s="39" t="s">
        <v>2479</v>
      </c>
      <c r="B34" s="40">
        <v>2</v>
      </c>
      <c r="C34" s="41">
        <v>11</v>
      </c>
      <c r="D34" s="41">
        <v>12</v>
      </c>
      <c r="E34" s="41">
        <v>13</v>
      </c>
      <c r="F34" s="41">
        <v>14</v>
      </c>
      <c r="G34" s="41">
        <v>15</v>
      </c>
      <c r="H34" s="41">
        <v>16</v>
      </c>
      <c r="I34" s="41">
        <v>17</v>
      </c>
      <c r="J34" s="41">
        <v>18</v>
      </c>
      <c r="K34" s="41">
        <v>19</v>
      </c>
      <c r="L34" s="42">
        <v>20</v>
      </c>
    </row>
    <row r="35" spans="1:12" ht="18" customHeight="1" thickBot="1">
      <c r="A35" s="43"/>
      <c r="B35" s="44">
        <v>3</v>
      </c>
      <c r="C35" s="45">
        <v>21</v>
      </c>
      <c r="D35" s="45">
        <v>22</v>
      </c>
      <c r="E35" s="45">
        <v>23</v>
      </c>
      <c r="F35" s="45">
        <v>24</v>
      </c>
      <c r="G35" s="45">
        <v>25</v>
      </c>
      <c r="H35" s="45">
        <v>26</v>
      </c>
      <c r="I35" s="45">
        <v>27</v>
      </c>
      <c r="J35" s="45">
        <v>28</v>
      </c>
      <c r="K35" s="45">
        <v>29</v>
      </c>
      <c r="L35" s="46">
        <v>30</v>
      </c>
    </row>
    <row r="36" spans="1:12" ht="18" customHeight="1">
      <c r="A36" s="35"/>
      <c r="B36" s="36">
        <v>1</v>
      </c>
      <c r="C36" s="37">
        <v>1</v>
      </c>
      <c r="D36" s="37">
        <v>2</v>
      </c>
      <c r="E36" s="37">
        <v>3</v>
      </c>
      <c r="F36" s="37">
        <v>4</v>
      </c>
      <c r="G36" s="37">
        <v>5</v>
      </c>
      <c r="H36" s="37">
        <v>6</v>
      </c>
      <c r="I36" s="37">
        <v>7</v>
      </c>
      <c r="J36" s="37">
        <v>8</v>
      </c>
      <c r="K36" s="37">
        <v>9</v>
      </c>
      <c r="L36" s="38">
        <v>10</v>
      </c>
    </row>
    <row r="37" spans="1:12" ht="18" customHeight="1">
      <c r="A37" s="39" t="s">
        <v>2480</v>
      </c>
      <c r="B37" s="40">
        <v>2</v>
      </c>
      <c r="C37" s="41">
        <v>11</v>
      </c>
      <c r="D37" s="41">
        <v>12</v>
      </c>
      <c r="E37" s="41">
        <v>13</v>
      </c>
      <c r="F37" s="41">
        <v>14</v>
      </c>
      <c r="G37" s="41">
        <v>15</v>
      </c>
      <c r="H37" s="41">
        <v>16</v>
      </c>
      <c r="I37" s="41">
        <v>17</v>
      </c>
      <c r="J37" s="41">
        <v>18</v>
      </c>
      <c r="K37" s="41">
        <v>19</v>
      </c>
      <c r="L37" s="42">
        <v>20</v>
      </c>
    </row>
    <row r="38" spans="1:12" ht="18" customHeight="1" thickBot="1">
      <c r="A38" s="43"/>
      <c r="B38" s="44">
        <v>3</v>
      </c>
      <c r="C38" s="45">
        <v>21</v>
      </c>
      <c r="D38" s="45">
        <v>22</v>
      </c>
      <c r="E38" s="45">
        <v>23</v>
      </c>
      <c r="F38" s="45">
        <v>24</v>
      </c>
      <c r="G38" s="45">
        <v>25</v>
      </c>
      <c r="H38" s="45">
        <v>26</v>
      </c>
      <c r="I38" s="45">
        <v>27</v>
      </c>
      <c r="J38" s="45">
        <v>28</v>
      </c>
      <c r="K38" s="45">
        <v>29</v>
      </c>
      <c r="L38" s="46">
        <v>30</v>
      </c>
    </row>
    <row r="39" spans="1:12" ht="18" customHeight="1" thickBot="1">
      <c r="A39" s="54" t="s">
        <v>2481</v>
      </c>
      <c r="B39" s="48"/>
      <c r="C39" s="55"/>
      <c r="D39" s="55"/>
      <c r="E39" s="55"/>
      <c r="F39" s="55"/>
      <c r="G39" s="55"/>
      <c r="H39" s="55"/>
      <c r="I39" s="55"/>
      <c r="J39" s="55"/>
      <c r="K39" s="55"/>
      <c r="L39" s="56"/>
    </row>
    <row r="40" spans="1:12" ht="18" customHeight="1">
      <c r="A40" s="35"/>
      <c r="B40" s="36">
        <v>1</v>
      </c>
      <c r="C40" s="37">
        <v>1</v>
      </c>
      <c r="D40" s="37">
        <v>2</v>
      </c>
      <c r="E40" s="37">
        <v>3</v>
      </c>
      <c r="F40" s="37">
        <v>4</v>
      </c>
      <c r="G40" s="37">
        <v>5</v>
      </c>
      <c r="H40" s="37">
        <v>6</v>
      </c>
      <c r="I40" s="37">
        <v>7</v>
      </c>
      <c r="J40" s="37">
        <v>8</v>
      </c>
      <c r="K40" s="37">
        <v>9</v>
      </c>
      <c r="L40" s="38">
        <v>10</v>
      </c>
    </row>
    <row r="41" spans="1:12" ht="18" customHeight="1">
      <c r="A41" s="39" t="s">
        <v>2482</v>
      </c>
      <c r="B41" s="40">
        <v>2</v>
      </c>
      <c r="C41" s="41">
        <v>11</v>
      </c>
      <c r="D41" s="41">
        <v>12</v>
      </c>
      <c r="E41" s="41">
        <v>13</v>
      </c>
      <c r="F41" s="41">
        <v>14</v>
      </c>
      <c r="G41" s="41">
        <v>15</v>
      </c>
      <c r="H41" s="41">
        <v>16</v>
      </c>
      <c r="I41" s="41">
        <v>17</v>
      </c>
      <c r="J41" s="41">
        <v>18</v>
      </c>
      <c r="K41" s="41">
        <v>19</v>
      </c>
      <c r="L41" s="42">
        <v>20</v>
      </c>
    </row>
    <row r="42" spans="1:12" ht="18" customHeight="1" thickBot="1">
      <c r="A42" s="57"/>
      <c r="B42" s="58">
        <v>3</v>
      </c>
      <c r="C42" s="45">
        <v>21</v>
      </c>
      <c r="D42" s="45">
        <v>22</v>
      </c>
      <c r="E42" s="45">
        <v>23</v>
      </c>
      <c r="F42" s="45">
        <v>24</v>
      </c>
      <c r="G42" s="45">
        <v>25</v>
      </c>
      <c r="H42" s="45">
        <v>26</v>
      </c>
      <c r="I42" s="45">
        <v>27</v>
      </c>
      <c r="J42" s="45">
        <v>28</v>
      </c>
      <c r="K42" s="45">
        <v>29</v>
      </c>
      <c r="L42" s="46">
        <v>30</v>
      </c>
    </row>
    <row r="43" ht="24.75" customHeight="1" thickTop="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BX97"/>
  <sheetViews>
    <sheetView workbookViewId="0" topLeftCell="A1">
      <selection activeCell="AJ37" sqref="AJ37:AL37"/>
    </sheetView>
  </sheetViews>
  <sheetFormatPr defaultColWidth="11.421875" defaultRowHeight="12.75"/>
  <cols>
    <col min="1" max="4" width="2.421875" style="130" customWidth="1"/>
    <col min="5" max="5" width="5.140625" style="130" customWidth="1"/>
    <col min="6" max="16384" width="2.421875" style="130" customWidth="1"/>
  </cols>
  <sheetData>
    <row r="1" spans="1:38" ht="12.75">
      <c r="A1" s="234"/>
      <c r="B1" s="256" t="s">
        <v>2</v>
      </c>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row>
    <row r="2" spans="1:38" ht="21.75" customHeight="1">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row>
    <row r="3" spans="1:76" ht="10.5">
      <c r="A3" s="177">
        <v>7</v>
      </c>
      <c r="B3" s="441" t="s">
        <v>2073</v>
      </c>
      <c r="C3" s="442"/>
      <c r="D3" s="442"/>
      <c r="E3" s="442"/>
      <c r="F3" s="442"/>
      <c r="G3" s="240"/>
      <c r="H3" s="443">
        <f>VLOOKUP(A3,'ECKDAT dieb'!A4:N23,14)</f>
        <v>7</v>
      </c>
      <c r="I3" s="446"/>
      <c r="J3" s="446"/>
      <c r="K3" s="446"/>
      <c r="L3" s="446"/>
      <c r="M3" s="446"/>
      <c r="N3" s="446"/>
      <c r="O3" s="446"/>
      <c r="P3" s="446"/>
      <c r="Q3" s="447"/>
      <c r="R3" s="177">
        <v>11</v>
      </c>
      <c r="S3" s="234"/>
      <c r="T3" s="234"/>
      <c r="U3" s="441" t="s">
        <v>2074</v>
      </c>
      <c r="V3" s="442"/>
      <c r="W3" s="442"/>
      <c r="X3" s="442"/>
      <c r="Y3" s="442"/>
      <c r="Z3" s="442"/>
      <c r="AA3" s="442"/>
      <c r="AB3" s="240"/>
      <c r="AC3" s="443">
        <f>IF(VLOOKUP(R3,'ECKDAT dieb'!A35:K51,11)&lt;&gt;'BOGEN "ALLE"'!A30,"FEHLER",VLOOKUP(R3,'ECKDAT dieb'!A35:K51,11))</f>
        <v>19</v>
      </c>
      <c r="AD3" s="444"/>
      <c r="AE3" s="445"/>
      <c r="AF3" s="446"/>
      <c r="AG3" s="446"/>
      <c r="AH3" s="446"/>
      <c r="AI3" s="446"/>
      <c r="AJ3" s="446"/>
      <c r="AK3" s="446"/>
      <c r="AL3" s="447"/>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row>
    <row r="4" spans="1:76" ht="6" customHeight="1">
      <c r="A4" s="234"/>
      <c r="B4" s="257"/>
      <c r="C4" s="234"/>
      <c r="D4" s="234"/>
      <c r="E4" s="258"/>
      <c r="F4" s="234"/>
      <c r="G4" s="234"/>
      <c r="H4" s="234"/>
      <c r="I4" s="234"/>
      <c r="J4" s="234"/>
      <c r="K4" s="234"/>
      <c r="L4" s="234"/>
      <c r="M4" s="234"/>
      <c r="N4" s="234"/>
      <c r="O4" s="234"/>
      <c r="P4" s="234"/>
      <c r="Q4" s="234"/>
      <c r="R4" s="234"/>
      <c r="S4" s="234"/>
      <c r="T4" s="234"/>
      <c r="U4" s="257"/>
      <c r="V4" s="234"/>
      <c r="W4" s="234"/>
      <c r="X4" s="234"/>
      <c r="Y4" s="234"/>
      <c r="Z4" s="234"/>
      <c r="AA4" s="234"/>
      <c r="AB4" s="234"/>
      <c r="AC4" s="258"/>
      <c r="AD4" s="258"/>
      <c r="AE4" s="259"/>
      <c r="AF4" s="234"/>
      <c r="AG4" s="234"/>
      <c r="AH4" s="234"/>
      <c r="AI4" s="234"/>
      <c r="AJ4" s="234"/>
      <c r="AK4" s="234"/>
      <c r="AL4" s="234"/>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row>
    <row r="5" spans="1:76" ht="10.5">
      <c r="A5" s="177">
        <v>1</v>
      </c>
      <c r="B5" s="441" t="s">
        <v>177</v>
      </c>
      <c r="C5" s="442"/>
      <c r="D5" s="442"/>
      <c r="E5" s="442"/>
      <c r="F5" s="442"/>
      <c r="G5" s="240"/>
      <c r="H5" s="443" t="str">
        <f>VLOOKUP(A5,'ECKDAT dieb'!A26:J32,2)</f>
        <v>Elf</v>
      </c>
      <c r="I5" s="446"/>
      <c r="J5" s="446"/>
      <c r="K5" s="446"/>
      <c r="L5" s="446"/>
      <c r="M5" s="446"/>
      <c r="N5" s="446"/>
      <c r="O5" s="446"/>
      <c r="P5" s="446"/>
      <c r="Q5" s="447"/>
      <c r="R5" s="177">
        <v>8</v>
      </c>
      <c r="S5" s="234"/>
      <c r="T5" s="234"/>
      <c r="U5" s="441" t="s">
        <v>313</v>
      </c>
      <c r="V5" s="442"/>
      <c r="W5" s="442"/>
      <c r="X5" s="442"/>
      <c r="Y5" s="442"/>
      <c r="Z5" s="442"/>
      <c r="AA5" s="442"/>
      <c r="AB5" s="240"/>
      <c r="AC5" s="443" t="str">
        <f>VLOOKUP(R5,'ECKDAT dieb'!A54:J66,2)</f>
        <v>LEDERPANZER</v>
      </c>
      <c r="AD5" s="445"/>
      <c r="AE5" s="445"/>
      <c r="AF5" s="445"/>
      <c r="AG5" s="445"/>
      <c r="AH5" s="445"/>
      <c r="AI5" s="445"/>
      <c r="AJ5" s="445"/>
      <c r="AK5" s="445"/>
      <c r="AL5" s="44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row>
    <row r="6" spans="1:76" ht="6" customHeight="1">
      <c r="A6" s="234"/>
      <c r="B6" s="234"/>
      <c r="C6" s="234"/>
      <c r="D6" s="234"/>
      <c r="E6" s="258"/>
      <c r="F6" s="234"/>
      <c r="G6" s="234"/>
      <c r="H6" s="234"/>
      <c r="I6" s="234"/>
      <c r="J6" s="234"/>
      <c r="K6" s="234"/>
      <c r="L6" s="234"/>
      <c r="M6" s="234"/>
      <c r="N6" s="234"/>
      <c r="O6" s="234"/>
      <c r="P6" s="234"/>
      <c r="Q6" s="234"/>
      <c r="R6" s="220">
        <v>5</v>
      </c>
      <c r="S6" s="234"/>
      <c r="T6" s="234"/>
      <c r="U6" s="234"/>
      <c r="V6" s="234"/>
      <c r="W6" s="234"/>
      <c r="X6" s="234"/>
      <c r="Y6" s="234"/>
      <c r="Z6" s="234"/>
      <c r="AA6" s="234"/>
      <c r="AB6" s="234"/>
      <c r="AC6" s="234"/>
      <c r="AD6" s="234"/>
      <c r="AE6" s="234"/>
      <c r="AF6" s="234"/>
      <c r="AG6" s="234"/>
      <c r="AH6" s="234"/>
      <c r="AI6" s="234"/>
      <c r="AJ6" s="234"/>
      <c r="AK6" s="234"/>
      <c r="AL6" s="234"/>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row>
    <row r="7" spans="1:76" ht="4.5" customHeight="1">
      <c r="A7" s="234"/>
      <c r="B7" s="234"/>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row>
    <row r="8" spans="1:76" ht="4.5" customHeight="1">
      <c r="A8" s="234"/>
      <c r="B8" s="234"/>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row>
    <row r="9" spans="1:76" ht="10.5">
      <c r="A9" s="234"/>
      <c r="B9" s="234"/>
      <c r="C9" s="234"/>
      <c r="D9" s="234"/>
      <c r="E9" s="234"/>
      <c r="F9" s="234"/>
      <c r="G9" s="234"/>
      <c r="H9" s="234"/>
      <c r="I9" s="234"/>
      <c r="J9" s="220"/>
      <c r="K9" s="220"/>
      <c r="L9" s="236" t="s">
        <v>2108</v>
      </c>
      <c r="M9" s="237"/>
      <c r="N9" s="237"/>
      <c r="O9" s="237"/>
      <c r="P9" s="236" t="s">
        <v>177</v>
      </c>
      <c r="Q9" s="237"/>
      <c r="R9" s="237"/>
      <c r="S9" s="237"/>
      <c r="T9" s="236" t="s">
        <v>311</v>
      </c>
      <c r="U9" s="237"/>
      <c r="V9" s="237"/>
      <c r="W9" s="237"/>
      <c r="X9" s="236" t="s">
        <v>313</v>
      </c>
      <c r="Y9" s="237"/>
      <c r="Z9" s="237"/>
      <c r="AA9" s="220"/>
      <c r="AB9" s="437" t="s">
        <v>2090</v>
      </c>
      <c r="AC9" s="438"/>
      <c r="AD9" s="438"/>
      <c r="AE9" s="235"/>
      <c r="AF9" s="437" t="s">
        <v>326</v>
      </c>
      <c r="AG9" s="439"/>
      <c r="AH9" s="439"/>
      <c r="AI9" s="235"/>
      <c r="AJ9" s="238"/>
      <c r="AK9" s="239" t="s">
        <v>312</v>
      </c>
      <c r="AL9" s="23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row>
    <row r="10" spans="1:76" ht="10.5">
      <c r="A10" s="234"/>
      <c r="B10" s="415" t="str">
        <f>(IF(AJ10&lt;K11+O11,"zu Gering",IF(AJ10-O11-K11&gt;VLOOKUP($A$3,'ECKDAT dieb'!$A$4:$N$23,12),"zu HOCH",IF(AJ10&gt;95%,"MAXIMAL 95%","TASCHENDIEBSTAHL "))))</f>
        <v>TASCHENDIEBSTAHL </v>
      </c>
      <c r="C10" s="416"/>
      <c r="D10" s="416"/>
      <c r="E10" s="416"/>
      <c r="F10" s="416"/>
      <c r="G10" s="416"/>
      <c r="H10" s="416"/>
      <c r="I10" s="417"/>
      <c r="J10" s="220"/>
      <c r="K10" s="220"/>
      <c r="L10" s="236"/>
      <c r="M10" s="237"/>
      <c r="N10" s="237"/>
      <c r="O10" s="237"/>
      <c r="P10" s="236"/>
      <c r="Q10" s="237"/>
      <c r="R10" s="237"/>
      <c r="S10" s="237"/>
      <c r="T10" s="236"/>
      <c r="U10" s="237"/>
      <c r="V10" s="237"/>
      <c r="W10" s="237"/>
      <c r="X10" s="236"/>
      <c r="Y10" s="237"/>
      <c r="Z10" s="237"/>
      <c r="AA10" s="220"/>
      <c r="AB10" s="438"/>
      <c r="AC10" s="438"/>
      <c r="AD10" s="438"/>
      <c r="AE10" s="235"/>
      <c r="AF10" s="440"/>
      <c r="AG10" s="440"/>
      <c r="AH10" s="440"/>
      <c r="AI10" s="235"/>
      <c r="AJ10" s="421">
        <v>0.4</v>
      </c>
      <c r="AK10" s="422"/>
      <c r="AL10" s="423"/>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row>
    <row r="11" spans="1:76" ht="10.5">
      <c r="A11" s="234"/>
      <c r="B11" s="418"/>
      <c r="C11" s="419"/>
      <c r="D11" s="419"/>
      <c r="E11" s="419"/>
      <c r="F11" s="419"/>
      <c r="G11" s="419"/>
      <c r="H11" s="419"/>
      <c r="I11" s="420"/>
      <c r="J11" s="309"/>
      <c r="K11" s="427">
        <f>'ECKDAT dieb'!C3+VLOOKUP($A$5,'ECKDAT dieb'!$A$26:$J$32,3)+VLOOKUP($R$3,'ECKDAT dieb'!$A$35:$K$51,3)</f>
        <v>0.35</v>
      </c>
      <c r="L11" s="428"/>
      <c r="M11" s="428"/>
      <c r="N11" s="241"/>
      <c r="O11" s="427">
        <f>VLOOKUP($A$5,'ECKDAT dieb'!$A$26:$J$32,3)</f>
        <v>0.05</v>
      </c>
      <c r="P11" s="429"/>
      <c r="Q11" s="429"/>
      <c r="R11" s="242"/>
      <c r="S11" s="427">
        <f>VLOOKUP($H$3,'ECKDAT dieb'!$A$4:$K$23,3)</f>
        <v>0.95</v>
      </c>
      <c r="T11" s="427"/>
      <c r="U11" s="427"/>
      <c r="V11" s="242"/>
      <c r="W11" s="427">
        <f>VLOOKUP($R$5,'ECKDAT dieb'!$A$54:$J$66,3)</f>
        <v>0</v>
      </c>
      <c r="X11" s="427"/>
      <c r="Y11" s="427"/>
      <c r="Z11" s="430">
        <f>VLOOKUP($R$6,'ECKDAT dieb'!$A$54:$J$66,3)</f>
        <v>0.05</v>
      </c>
      <c r="AA11" s="431"/>
      <c r="AB11" s="432">
        <f>IF(AJ10+Z11&gt;=95%,95%,IF(AJ10+Z11&lt;=0%,1%,AJ10+Z11))</f>
        <v>0.45</v>
      </c>
      <c r="AC11" s="433"/>
      <c r="AD11" s="434"/>
      <c r="AE11" s="240"/>
      <c r="AF11" s="432">
        <f>IF(AJ10+W11&gt;=95%,95%,IF(AJ10+W11&lt;=0%,1%,AJ10+W11))</f>
        <v>0.4</v>
      </c>
      <c r="AG11" s="435"/>
      <c r="AH11" s="436"/>
      <c r="AI11" s="240"/>
      <c r="AJ11" s="424"/>
      <c r="AK11" s="425"/>
      <c r="AL11" s="426"/>
      <c r="AM11" s="1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row>
    <row r="12" spans="1:76" ht="10.5">
      <c r="A12" s="234"/>
      <c r="B12" s="244"/>
      <c r="C12" s="243"/>
      <c r="D12" s="243"/>
      <c r="E12" s="243"/>
      <c r="F12" s="243"/>
      <c r="G12" s="243"/>
      <c r="H12" s="243"/>
      <c r="I12" s="243"/>
      <c r="J12" s="302"/>
      <c r="K12" s="245"/>
      <c r="L12" s="246"/>
      <c r="M12" s="246"/>
      <c r="N12" s="247"/>
      <c r="O12" s="245"/>
      <c r="P12" s="248"/>
      <c r="Q12" s="248"/>
      <c r="R12" s="249"/>
      <c r="S12" s="245"/>
      <c r="T12" s="245"/>
      <c r="U12" s="245"/>
      <c r="V12" s="249"/>
      <c r="W12" s="245"/>
      <c r="X12" s="245"/>
      <c r="Y12" s="245"/>
      <c r="Z12" s="247"/>
      <c r="AA12" s="250"/>
      <c r="AB12" s="251"/>
      <c r="AC12" s="252"/>
      <c r="AD12" s="252"/>
      <c r="AE12" s="234"/>
      <c r="AF12" s="251"/>
      <c r="AG12" s="251"/>
      <c r="AH12" s="251"/>
      <c r="AI12" s="234"/>
      <c r="AJ12" s="251"/>
      <c r="AK12" s="251"/>
      <c r="AL12" s="251"/>
      <c r="AM12" s="1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row>
    <row r="13" spans="1:76" ht="10.5" customHeight="1">
      <c r="A13" s="234"/>
      <c r="B13" s="415" t="str">
        <f>(IF(AJ13&lt;K14+O14,"zu Gering",IF(AJ13-O14-K14&gt;VLOOKUP($A$3,'ECKDAT dieb'!$A$4:$N$23,12),"zu HOCH","SCHLÖSSER ÖFFNEN ")))</f>
        <v>SCHLÖSSER ÖFFNEN </v>
      </c>
      <c r="C13" s="416"/>
      <c r="D13" s="416"/>
      <c r="E13" s="416"/>
      <c r="F13" s="416"/>
      <c r="G13" s="416"/>
      <c r="H13" s="416"/>
      <c r="I13" s="417"/>
      <c r="J13" s="220"/>
      <c r="K13" s="237"/>
      <c r="L13" s="237"/>
      <c r="M13" s="237"/>
      <c r="N13" s="253"/>
      <c r="O13" s="237"/>
      <c r="P13" s="237"/>
      <c r="Q13" s="237"/>
      <c r="R13" s="237"/>
      <c r="S13" s="253"/>
      <c r="T13" s="253"/>
      <c r="U13" s="253"/>
      <c r="V13" s="237"/>
      <c r="W13" s="253"/>
      <c r="X13" s="253"/>
      <c r="Y13" s="253"/>
      <c r="Z13" s="253"/>
      <c r="AA13" s="219"/>
      <c r="AB13" s="251"/>
      <c r="AC13" s="251"/>
      <c r="AD13" s="251"/>
      <c r="AE13" s="235"/>
      <c r="AF13" s="254"/>
      <c r="AG13" s="254"/>
      <c r="AH13" s="254"/>
      <c r="AI13" s="235"/>
      <c r="AJ13" s="421">
        <v>0.65</v>
      </c>
      <c r="AK13" s="422"/>
      <c r="AL13" s="423"/>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row>
    <row r="14" spans="1:76" ht="10.5">
      <c r="A14" s="234"/>
      <c r="B14" s="418"/>
      <c r="C14" s="419"/>
      <c r="D14" s="419"/>
      <c r="E14" s="419"/>
      <c r="F14" s="419"/>
      <c r="G14" s="419"/>
      <c r="H14" s="419"/>
      <c r="I14" s="420"/>
      <c r="J14" s="309"/>
      <c r="K14" s="427">
        <f>'ECKDAT dieb'!D3+VLOOKUP($A$5,'ECKDAT dieb'!$A$26:$J$32,4)+VLOOKUP($R$3,'ECKDAT dieb'!$A$35:$K$51,4)</f>
        <v>0.25</v>
      </c>
      <c r="L14" s="428"/>
      <c r="M14" s="428"/>
      <c r="N14" s="241"/>
      <c r="O14" s="427">
        <f>VLOOKUP($A$5,'ECKDAT dieb'!$A$26:$J$32,4)</f>
        <v>-0.05</v>
      </c>
      <c r="P14" s="429"/>
      <c r="Q14" s="429"/>
      <c r="R14" s="242"/>
      <c r="S14" s="427">
        <f>VLOOKUP($H$3,'ECKDAT dieb'!$A$4:$K$23,4)</f>
        <v>0.95</v>
      </c>
      <c r="T14" s="427"/>
      <c r="U14" s="427"/>
      <c r="V14" s="242"/>
      <c r="W14" s="427">
        <f>VLOOKUP($R$5,'ECKDAT dieb'!$A$54:$J$66,4)</f>
        <v>0</v>
      </c>
      <c r="X14" s="427"/>
      <c r="Y14" s="427"/>
      <c r="Z14" s="430">
        <f>VLOOKUP($R$6,'ECKDAT dieb'!$A$54:$J$66,4)</f>
        <v>0</v>
      </c>
      <c r="AA14" s="431"/>
      <c r="AB14" s="432">
        <f>IF(AJ13+Z14&gt;=95%,95%,IF(AJ13+Z14&lt;=0%,1%,AJ13+Z14))</f>
        <v>0.65</v>
      </c>
      <c r="AC14" s="433"/>
      <c r="AD14" s="434"/>
      <c r="AE14" s="240"/>
      <c r="AF14" s="432">
        <f>IF(AJ13+W14&gt;=95%,95%,IF(AJ13+W14&lt;=0%,1%,AJ13+W14))</f>
        <v>0.65</v>
      </c>
      <c r="AG14" s="435"/>
      <c r="AH14" s="436"/>
      <c r="AI14" s="240"/>
      <c r="AJ14" s="424"/>
      <c r="AK14" s="425"/>
      <c r="AL14" s="426"/>
      <c r="AM14" s="1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row>
    <row r="15" spans="1:76" ht="10.5">
      <c r="A15" s="234"/>
      <c r="B15" s="244"/>
      <c r="C15" s="243"/>
      <c r="D15" s="243"/>
      <c r="E15" s="243"/>
      <c r="F15" s="243"/>
      <c r="G15" s="243"/>
      <c r="H15" s="243"/>
      <c r="I15" s="243"/>
      <c r="J15" s="302"/>
      <c r="K15" s="245"/>
      <c r="L15" s="246"/>
      <c r="M15" s="246"/>
      <c r="N15" s="247"/>
      <c r="O15" s="245"/>
      <c r="P15" s="248"/>
      <c r="Q15" s="248"/>
      <c r="R15" s="249"/>
      <c r="S15" s="245"/>
      <c r="T15" s="245"/>
      <c r="U15" s="245"/>
      <c r="V15" s="249"/>
      <c r="W15" s="245"/>
      <c r="X15" s="245"/>
      <c r="Y15" s="245"/>
      <c r="Z15" s="247"/>
      <c r="AA15" s="250"/>
      <c r="AB15" s="251"/>
      <c r="AC15" s="252"/>
      <c r="AD15" s="252"/>
      <c r="AE15" s="234"/>
      <c r="AF15" s="251"/>
      <c r="AG15" s="251"/>
      <c r="AH15" s="251"/>
      <c r="AI15" s="234"/>
      <c r="AJ15" s="251"/>
      <c r="AK15" s="251"/>
      <c r="AL15" s="251"/>
      <c r="AM15" s="1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row>
    <row r="16" spans="1:76" ht="10.5" customHeight="1">
      <c r="A16" s="234"/>
      <c r="B16" s="415" t="str">
        <f>(IF(AJ16&lt;K17+O17,"zu Gering",IF(AJ16-O17-K17&gt;VLOOKUP($A$3,'ECKDAT dieb'!$A$4:$N$23,12),"zu HOCH","FALLEN FINDEN/ ENTSCHÄRFEN ")))</f>
        <v>FALLEN FINDEN/ ENTSCHÄRFEN </v>
      </c>
      <c r="C16" s="416"/>
      <c r="D16" s="416"/>
      <c r="E16" s="416"/>
      <c r="F16" s="416"/>
      <c r="G16" s="416"/>
      <c r="H16" s="416"/>
      <c r="I16" s="417"/>
      <c r="J16" s="220"/>
      <c r="K16" s="237"/>
      <c r="L16" s="237"/>
      <c r="M16" s="237"/>
      <c r="N16" s="253"/>
      <c r="O16" s="237"/>
      <c r="P16" s="237"/>
      <c r="Q16" s="237"/>
      <c r="R16" s="237"/>
      <c r="S16" s="253"/>
      <c r="T16" s="253"/>
      <c r="U16" s="253"/>
      <c r="V16" s="237"/>
      <c r="W16" s="253"/>
      <c r="X16" s="253"/>
      <c r="Y16" s="253"/>
      <c r="Z16" s="253"/>
      <c r="AA16" s="219"/>
      <c r="AB16" s="251"/>
      <c r="AC16" s="251"/>
      <c r="AD16" s="251"/>
      <c r="AE16" s="235"/>
      <c r="AF16" s="254"/>
      <c r="AG16" s="254"/>
      <c r="AH16" s="254"/>
      <c r="AI16" s="235"/>
      <c r="AJ16" s="421">
        <v>0.6</v>
      </c>
      <c r="AK16" s="422"/>
      <c r="AL16" s="423"/>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row>
    <row r="17" spans="1:76" ht="10.5">
      <c r="A17" s="234"/>
      <c r="B17" s="418"/>
      <c r="C17" s="419"/>
      <c r="D17" s="419"/>
      <c r="E17" s="419"/>
      <c r="F17" s="419"/>
      <c r="G17" s="419"/>
      <c r="H17" s="419"/>
      <c r="I17" s="420"/>
      <c r="J17" s="309"/>
      <c r="K17" s="427">
        <f>'ECKDAT dieb'!E3+VLOOKUP($A$5,'ECKDAT dieb'!$A$26:$J$32,5)+VLOOKUP($R$3,'ECKDAT dieb'!$A$35:$K$51,5)</f>
        <v>0.15000000000000002</v>
      </c>
      <c r="L17" s="428"/>
      <c r="M17" s="428"/>
      <c r="N17" s="241"/>
      <c r="O17" s="427">
        <f>VLOOKUP($A$5,'ECKDAT dieb'!$A$26:$J$32,5)</f>
        <v>0</v>
      </c>
      <c r="P17" s="429"/>
      <c r="Q17" s="429"/>
      <c r="R17" s="242"/>
      <c r="S17" s="427">
        <f>VLOOKUP($H$3,'ECKDAT dieb'!$A$4:$K$23,5)</f>
        <v>0.95</v>
      </c>
      <c r="T17" s="427"/>
      <c r="U17" s="427"/>
      <c r="V17" s="242"/>
      <c r="W17" s="427">
        <f>VLOOKUP($R$5,'ECKDAT dieb'!$A$54:$J$66,5)</f>
        <v>0</v>
      </c>
      <c r="X17" s="427"/>
      <c r="Y17" s="427"/>
      <c r="Z17" s="430">
        <f>VLOOKUP($R$6,'ECKDAT dieb'!$A$54:$J$66,5)</f>
        <v>0</v>
      </c>
      <c r="AA17" s="431"/>
      <c r="AB17" s="432">
        <f>IF(AJ16+Z17&gt;=95%,95%,IF(AJ16+Z17&lt;=0%,1%,AJ16+Z17))</f>
        <v>0.6</v>
      </c>
      <c r="AC17" s="433"/>
      <c r="AD17" s="434"/>
      <c r="AE17" s="240"/>
      <c r="AF17" s="432">
        <f>IF(AJ16+W17&gt;=95%,95%,IF(AJ16+W17&lt;=0%,1%,AJ16+W17))</f>
        <v>0.6</v>
      </c>
      <c r="AG17" s="435"/>
      <c r="AH17" s="436"/>
      <c r="AI17" s="240"/>
      <c r="AJ17" s="424"/>
      <c r="AK17" s="425"/>
      <c r="AL17" s="426"/>
      <c r="AM17" s="1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row>
    <row r="18" spans="1:76" ht="10.5">
      <c r="A18" s="234"/>
      <c r="B18" s="244"/>
      <c r="C18" s="243"/>
      <c r="D18" s="243"/>
      <c r="E18" s="243"/>
      <c r="F18" s="243"/>
      <c r="G18" s="243"/>
      <c r="H18" s="243"/>
      <c r="I18" s="243"/>
      <c r="J18" s="302"/>
      <c r="K18" s="245"/>
      <c r="L18" s="246"/>
      <c r="M18" s="246"/>
      <c r="N18" s="247"/>
      <c r="O18" s="245"/>
      <c r="P18" s="248"/>
      <c r="Q18" s="248"/>
      <c r="R18" s="249"/>
      <c r="S18" s="245"/>
      <c r="T18" s="245"/>
      <c r="U18" s="245"/>
      <c r="V18" s="249"/>
      <c r="W18" s="245"/>
      <c r="X18" s="245"/>
      <c r="Y18" s="245"/>
      <c r="Z18" s="247"/>
      <c r="AA18" s="250"/>
      <c r="AB18" s="251"/>
      <c r="AC18" s="252"/>
      <c r="AD18" s="252"/>
      <c r="AE18" s="234"/>
      <c r="AF18" s="251"/>
      <c r="AG18" s="251"/>
      <c r="AH18" s="251"/>
      <c r="AI18" s="234"/>
      <c r="AJ18" s="251"/>
      <c r="AK18" s="251"/>
      <c r="AL18" s="251"/>
      <c r="AM18" s="1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row>
    <row r="19" spans="1:76" ht="10.5" customHeight="1">
      <c r="A19" s="234"/>
      <c r="B19" s="415" t="str">
        <f>(IF(AJ19&lt;K20+O20,"zu Gering",IF(AJ19-O20-K20&gt;VLOOKUP($A$3,'ECKDAT dieb'!$A$4:$N$23,12),"zu HOCH","LEISE BEWEGEN ")))</f>
        <v>LEISE BEWEGEN </v>
      </c>
      <c r="C19" s="416"/>
      <c r="D19" s="416"/>
      <c r="E19" s="416"/>
      <c r="F19" s="416"/>
      <c r="G19" s="416"/>
      <c r="H19" s="416"/>
      <c r="I19" s="417"/>
      <c r="J19" s="220"/>
      <c r="K19" s="237"/>
      <c r="L19" s="237"/>
      <c r="M19" s="237"/>
      <c r="N19" s="253"/>
      <c r="O19" s="237"/>
      <c r="P19" s="237"/>
      <c r="Q19" s="237"/>
      <c r="R19" s="237"/>
      <c r="S19" s="253"/>
      <c r="T19" s="253"/>
      <c r="U19" s="253"/>
      <c r="V19" s="237"/>
      <c r="W19" s="253"/>
      <c r="X19" s="253"/>
      <c r="Y19" s="253"/>
      <c r="Z19" s="253"/>
      <c r="AA19" s="219"/>
      <c r="AB19" s="251"/>
      <c r="AC19" s="251"/>
      <c r="AD19" s="251"/>
      <c r="AE19" s="235"/>
      <c r="AF19" s="254"/>
      <c r="AG19" s="254"/>
      <c r="AH19" s="254"/>
      <c r="AI19" s="235"/>
      <c r="AJ19" s="421">
        <v>0.95</v>
      </c>
      <c r="AK19" s="422"/>
      <c r="AL19" s="423"/>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row>
    <row r="20" spans="1:76" ht="10.5">
      <c r="A20" s="234"/>
      <c r="B20" s="418"/>
      <c r="C20" s="419"/>
      <c r="D20" s="419"/>
      <c r="E20" s="419"/>
      <c r="F20" s="419"/>
      <c r="G20" s="419"/>
      <c r="H20" s="419"/>
      <c r="I20" s="420"/>
      <c r="J20" s="309"/>
      <c r="K20" s="427">
        <f>'ECKDAT dieb'!F3+VLOOKUP($A$5,'ECKDAT dieb'!$A$26:$J$32,6)+VLOOKUP($R$3,'ECKDAT dieb'!$A$35:$K$51,6)</f>
        <v>0.30000000000000004</v>
      </c>
      <c r="L20" s="428"/>
      <c r="M20" s="428"/>
      <c r="N20" s="241"/>
      <c r="O20" s="427">
        <f>VLOOKUP($A$5,'ECKDAT dieb'!$A$26:$J$32,6)</f>
        <v>0.05</v>
      </c>
      <c r="P20" s="429"/>
      <c r="Q20" s="429"/>
      <c r="R20" s="242"/>
      <c r="S20" s="427">
        <f>VLOOKUP($H$3,'ECKDAT dieb'!$A$4:$K$23,6)</f>
        <v>0.95</v>
      </c>
      <c r="T20" s="427"/>
      <c r="U20" s="427"/>
      <c r="V20" s="242"/>
      <c r="W20" s="427">
        <f>VLOOKUP($R$5,'ECKDAT dieb'!$A$54:$J$66,6)</f>
        <v>0</v>
      </c>
      <c r="X20" s="427"/>
      <c r="Y20" s="427"/>
      <c r="Z20" s="430">
        <f>VLOOKUP($R$6,'ECKDAT dieb'!$A$54:$J$66,6)</f>
        <v>0.1</v>
      </c>
      <c r="AA20" s="431"/>
      <c r="AB20" s="432">
        <f>IF(AJ19+Z20&gt;=95%,95%,IF(AJ19+Z20&lt;=0%,1%,AJ19+Z20))</f>
        <v>0.95</v>
      </c>
      <c r="AC20" s="433"/>
      <c r="AD20" s="434"/>
      <c r="AE20" s="240"/>
      <c r="AF20" s="432">
        <f>IF(AJ19+W20&gt;=95%,95%,IF(AJ19+W20&lt;=0%,1%,AJ19+W20))</f>
        <v>0.95</v>
      </c>
      <c r="AG20" s="435"/>
      <c r="AH20" s="436"/>
      <c r="AI20" s="240"/>
      <c r="AJ20" s="424"/>
      <c r="AK20" s="425"/>
      <c r="AL20" s="426"/>
      <c r="AM20" s="1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row>
    <row r="21" spans="1:76" ht="10.5">
      <c r="A21" s="234"/>
      <c r="B21" s="244"/>
      <c r="C21" s="243"/>
      <c r="D21" s="243"/>
      <c r="E21" s="243"/>
      <c r="F21" s="243"/>
      <c r="G21" s="243"/>
      <c r="H21" s="243"/>
      <c r="I21" s="243"/>
      <c r="J21" s="302"/>
      <c r="K21" s="245"/>
      <c r="L21" s="246"/>
      <c r="M21" s="246"/>
      <c r="N21" s="247"/>
      <c r="O21" s="245"/>
      <c r="P21" s="248"/>
      <c r="Q21" s="248"/>
      <c r="R21" s="249"/>
      <c r="S21" s="245"/>
      <c r="T21" s="245"/>
      <c r="U21" s="245"/>
      <c r="V21" s="249"/>
      <c r="W21" s="245"/>
      <c r="X21" s="245"/>
      <c r="Y21" s="245"/>
      <c r="Z21" s="247"/>
      <c r="AA21" s="250"/>
      <c r="AB21" s="251"/>
      <c r="AC21" s="252"/>
      <c r="AD21" s="252"/>
      <c r="AE21" s="234"/>
      <c r="AF21" s="251"/>
      <c r="AG21" s="251"/>
      <c r="AH21" s="251"/>
      <c r="AI21" s="234"/>
      <c r="AJ21" s="251"/>
      <c r="AK21" s="251"/>
      <c r="AL21" s="251"/>
      <c r="AM21" s="1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row>
    <row r="22" spans="1:76" ht="10.5" customHeight="1">
      <c r="A22" s="234"/>
      <c r="B22" s="415" t="str">
        <f>(IF(AJ22&lt;K23+O23,"zu Gering",IF(AJ22-O23-K23&gt;VLOOKUP($A$3,'ECKDAT dieb'!$A$4:$N$23,12),"zu HOCH","IM SCHATTEN VERSTECKEN")))</f>
        <v>IM SCHATTEN VERSTECKEN</v>
      </c>
      <c r="C22" s="416"/>
      <c r="D22" s="416"/>
      <c r="E22" s="416"/>
      <c r="F22" s="416"/>
      <c r="G22" s="416"/>
      <c r="H22" s="416"/>
      <c r="I22" s="417"/>
      <c r="J22" s="220"/>
      <c r="K22" s="237"/>
      <c r="L22" s="237"/>
      <c r="M22" s="237"/>
      <c r="N22" s="253"/>
      <c r="O22" s="237"/>
      <c r="P22" s="237"/>
      <c r="Q22" s="237"/>
      <c r="R22" s="237"/>
      <c r="S22" s="253"/>
      <c r="T22" s="253"/>
      <c r="U22" s="253"/>
      <c r="V22" s="237"/>
      <c r="W22" s="253"/>
      <c r="X22" s="253"/>
      <c r="Y22" s="253"/>
      <c r="Z22" s="253"/>
      <c r="AA22" s="219"/>
      <c r="AB22" s="251"/>
      <c r="AC22" s="251"/>
      <c r="AD22" s="251"/>
      <c r="AE22" s="235"/>
      <c r="AF22" s="254"/>
      <c r="AG22" s="254"/>
      <c r="AH22" s="254"/>
      <c r="AI22" s="235"/>
      <c r="AJ22" s="421">
        <v>0.95</v>
      </c>
      <c r="AK22" s="422"/>
      <c r="AL22" s="423"/>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row>
    <row r="23" spans="1:76" ht="10.5">
      <c r="A23" s="234"/>
      <c r="B23" s="418"/>
      <c r="C23" s="419"/>
      <c r="D23" s="419"/>
      <c r="E23" s="419"/>
      <c r="F23" s="419"/>
      <c r="G23" s="419"/>
      <c r="H23" s="419"/>
      <c r="I23" s="420"/>
      <c r="J23" s="309"/>
      <c r="K23" s="427">
        <f>'ECKDAT dieb'!G3+VLOOKUP($A$5,'ECKDAT dieb'!$A$26:$J$32,7)+VLOOKUP($R$3,'ECKDAT dieb'!$A$35:$K$51,7)</f>
        <v>0.30000000000000004</v>
      </c>
      <c r="L23" s="428"/>
      <c r="M23" s="428"/>
      <c r="N23" s="241"/>
      <c r="O23" s="427">
        <f>VLOOKUP($A$5,'ECKDAT dieb'!$A$26:$J$32,7)</f>
        <v>0.1</v>
      </c>
      <c r="P23" s="429"/>
      <c r="Q23" s="429"/>
      <c r="R23" s="242"/>
      <c r="S23" s="427">
        <f>VLOOKUP($H$3,'ECKDAT dieb'!$A$4:$K$23,7)</f>
        <v>0.95</v>
      </c>
      <c r="T23" s="427"/>
      <c r="U23" s="427"/>
      <c r="V23" s="242"/>
      <c r="W23" s="427">
        <f>VLOOKUP($R$5,'ECKDAT dieb'!$A$54:$J$66,7)</f>
        <v>0</v>
      </c>
      <c r="X23" s="427"/>
      <c r="Y23" s="427"/>
      <c r="Z23" s="430">
        <f>VLOOKUP($R$6,'ECKDAT dieb'!$A$54:$J$66,7)</f>
        <v>0.05</v>
      </c>
      <c r="AA23" s="431"/>
      <c r="AB23" s="432">
        <f>IF(AJ22+Z23&gt;=95%,95%,IF(AJ22+Z23&lt;=0%,1%,AJ22+Z23))</f>
        <v>0.95</v>
      </c>
      <c r="AC23" s="433"/>
      <c r="AD23" s="434"/>
      <c r="AE23" s="240"/>
      <c r="AF23" s="432">
        <f>IF(AJ22+W23&gt;=95%,95%,IF(AJ22+W23&lt;=0%,1%,AJ22+W23))</f>
        <v>0.95</v>
      </c>
      <c r="AG23" s="435"/>
      <c r="AH23" s="436"/>
      <c r="AI23" s="240"/>
      <c r="AJ23" s="424"/>
      <c r="AK23" s="425"/>
      <c r="AL23" s="426"/>
      <c r="AM23" s="1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row>
    <row r="24" spans="1:76" ht="10.5">
      <c r="A24" s="234"/>
      <c r="B24" s="244"/>
      <c r="C24" s="243"/>
      <c r="D24" s="243"/>
      <c r="E24" s="243"/>
      <c r="F24" s="243"/>
      <c r="G24" s="243"/>
      <c r="H24" s="243"/>
      <c r="I24" s="243"/>
      <c r="J24" s="302"/>
      <c r="K24" s="245"/>
      <c r="L24" s="246"/>
      <c r="M24" s="246"/>
      <c r="N24" s="247"/>
      <c r="O24" s="245"/>
      <c r="P24" s="248"/>
      <c r="Q24" s="248"/>
      <c r="R24" s="249"/>
      <c r="S24" s="245"/>
      <c r="T24" s="245"/>
      <c r="U24" s="245"/>
      <c r="V24" s="249"/>
      <c r="W24" s="245"/>
      <c r="X24" s="245"/>
      <c r="Y24" s="245"/>
      <c r="Z24" s="247"/>
      <c r="AA24" s="250"/>
      <c r="AB24" s="251"/>
      <c r="AC24" s="252"/>
      <c r="AD24" s="252"/>
      <c r="AE24" s="234"/>
      <c r="AF24" s="251"/>
      <c r="AG24" s="251"/>
      <c r="AH24" s="251"/>
      <c r="AI24" s="234"/>
      <c r="AJ24" s="251"/>
      <c r="AK24" s="251"/>
      <c r="AL24" s="251"/>
      <c r="AM24" s="1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row>
    <row r="25" spans="1:76" ht="10.5" customHeight="1">
      <c r="A25" s="234"/>
      <c r="B25" s="415" t="str">
        <f>(IF(AJ25&lt;K26+O26,"zu Gering",IF(AJ25-O26-K26&gt;VLOOKUP($A$3,'ECKDAT dieb'!$A$4:$N$23,12),"zu HOCH","GERÄUSCHE HÖREN ")))</f>
        <v>GERÄUSCHE HÖREN </v>
      </c>
      <c r="C25" s="416"/>
      <c r="D25" s="416"/>
      <c r="E25" s="416"/>
      <c r="F25" s="416"/>
      <c r="G25" s="416"/>
      <c r="H25" s="416"/>
      <c r="I25" s="417"/>
      <c r="J25" s="220"/>
      <c r="K25" s="237"/>
      <c r="L25" s="237"/>
      <c r="M25" s="237"/>
      <c r="N25" s="253"/>
      <c r="O25" s="237"/>
      <c r="P25" s="237"/>
      <c r="Q25" s="237"/>
      <c r="R25" s="237"/>
      <c r="S25" s="253"/>
      <c r="T25" s="253"/>
      <c r="U25" s="253"/>
      <c r="V25" s="237"/>
      <c r="W25" s="253"/>
      <c r="X25" s="253"/>
      <c r="Y25" s="253"/>
      <c r="Z25" s="253"/>
      <c r="AA25" s="219"/>
      <c r="AB25" s="251"/>
      <c r="AC25" s="251"/>
      <c r="AD25" s="251"/>
      <c r="AE25" s="235"/>
      <c r="AF25" s="254"/>
      <c r="AG25" s="254"/>
      <c r="AH25" s="254"/>
      <c r="AI25" s="235"/>
      <c r="AJ25" s="421">
        <v>0.4</v>
      </c>
      <c r="AK25" s="422"/>
      <c r="AL25" s="423"/>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row>
    <row r="26" spans="1:76" ht="10.5">
      <c r="A26" s="234"/>
      <c r="B26" s="418"/>
      <c r="C26" s="419"/>
      <c r="D26" s="419"/>
      <c r="E26" s="419"/>
      <c r="F26" s="419"/>
      <c r="G26" s="419"/>
      <c r="H26" s="419"/>
      <c r="I26" s="420"/>
      <c r="J26" s="309"/>
      <c r="K26" s="427">
        <f>'ECKDAT dieb'!H3+VLOOKUP($A$5,'ECKDAT dieb'!$A$26:$J$32,8)+VLOOKUP($R$3,'ECKDAT dieb'!$A$35:$K$51,8)</f>
        <v>0.2</v>
      </c>
      <c r="L26" s="428"/>
      <c r="M26" s="428"/>
      <c r="N26" s="241"/>
      <c r="O26" s="427">
        <f>VLOOKUP($A$5,'ECKDAT dieb'!$A$26:$J$32,8)</f>
        <v>0.05</v>
      </c>
      <c r="P26" s="429"/>
      <c r="Q26" s="429"/>
      <c r="R26" s="242"/>
      <c r="S26" s="427">
        <f>VLOOKUP($H$3,'ECKDAT dieb'!$A$4:$K$23,8)</f>
        <v>0.95</v>
      </c>
      <c r="T26" s="427"/>
      <c r="U26" s="427"/>
      <c r="V26" s="242"/>
      <c r="W26" s="427">
        <f>VLOOKUP($R$5,'ECKDAT dieb'!$A$54:$J$66,8)</f>
        <v>0</v>
      </c>
      <c r="X26" s="427"/>
      <c r="Y26" s="427"/>
      <c r="Z26" s="430">
        <f>VLOOKUP($R$6,'ECKDAT dieb'!$A$54:$J$66,8)</f>
        <v>0</v>
      </c>
      <c r="AA26" s="431"/>
      <c r="AB26" s="432">
        <f>IF(AJ25+Z26&gt;=95%,95%,IF(AJ25+Z26&lt;=0%,1%,AJ25+Z26))</f>
        <v>0.4</v>
      </c>
      <c r="AC26" s="433"/>
      <c r="AD26" s="434"/>
      <c r="AE26" s="240"/>
      <c r="AF26" s="432">
        <f>IF(AJ25+W26&gt;=95%,95%,IF(AJ25+W26&lt;=0%,1%,AJ25+W26))</f>
        <v>0.4</v>
      </c>
      <c r="AG26" s="435"/>
      <c r="AH26" s="436"/>
      <c r="AI26" s="240"/>
      <c r="AJ26" s="424"/>
      <c r="AK26" s="425"/>
      <c r="AL26" s="426"/>
      <c r="AM26" s="1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row>
    <row r="27" spans="1:76" ht="10.5">
      <c r="A27" s="234"/>
      <c r="B27" s="244"/>
      <c r="C27" s="243"/>
      <c r="D27" s="243"/>
      <c r="E27" s="243"/>
      <c r="F27" s="243"/>
      <c r="G27" s="243"/>
      <c r="H27" s="243"/>
      <c r="I27" s="243"/>
      <c r="J27" s="302"/>
      <c r="K27" s="245"/>
      <c r="L27" s="246"/>
      <c r="M27" s="246"/>
      <c r="N27" s="247"/>
      <c r="O27" s="245"/>
      <c r="P27" s="248"/>
      <c r="Q27" s="248"/>
      <c r="R27" s="249"/>
      <c r="S27" s="245"/>
      <c r="T27" s="245"/>
      <c r="U27" s="245"/>
      <c r="V27" s="249"/>
      <c r="W27" s="245"/>
      <c r="X27" s="245"/>
      <c r="Y27" s="245"/>
      <c r="Z27" s="247"/>
      <c r="AA27" s="250"/>
      <c r="AB27" s="251"/>
      <c r="AC27" s="252"/>
      <c r="AD27" s="252"/>
      <c r="AE27" s="234"/>
      <c r="AF27" s="251"/>
      <c r="AG27" s="251"/>
      <c r="AH27" s="251"/>
      <c r="AI27" s="234"/>
      <c r="AJ27" s="251"/>
      <c r="AK27" s="251"/>
      <c r="AL27" s="251"/>
      <c r="AM27" s="1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row>
    <row r="28" spans="1:76" ht="10.5" customHeight="1">
      <c r="A28" s="234"/>
      <c r="B28" s="415" t="str">
        <f>(IF(AJ28&lt;K29+O29,"zu Gering",IF(AJ28-O29-K29&gt;VLOOKUP($A$3,'ECKDAT dieb'!$A$4:$N$23,12),"zu HOCH","WÄNDE ERKLIMMEN ")))</f>
        <v>WÄNDE ERKLIMMEN </v>
      </c>
      <c r="C28" s="416"/>
      <c r="D28" s="416"/>
      <c r="E28" s="416"/>
      <c r="F28" s="416"/>
      <c r="G28" s="416"/>
      <c r="H28" s="416"/>
      <c r="I28" s="417"/>
      <c r="J28" s="220"/>
      <c r="K28" s="237"/>
      <c r="L28" s="237"/>
      <c r="M28" s="237"/>
      <c r="N28" s="253"/>
      <c r="O28" s="237"/>
      <c r="P28" s="237"/>
      <c r="Q28" s="237"/>
      <c r="R28" s="237"/>
      <c r="S28" s="253"/>
      <c r="T28" s="253"/>
      <c r="U28" s="253"/>
      <c r="V28" s="237"/>
      <c r="W28" s="253"/>
      <c r="X28" s="253"/>
      <c r="Y28" s="253"/>
      <c r="Z28" s="247"/>
      <c r="AA28" s="250"/>
      <c r="AB28" s="251"/>
      <c r="AC28" s="251"/>
      <c r="AD28" s="251"/>
      <c r="AE28" s="235"/>
      <c r="AF28" s="254"/>
      <c r="AG28" s="254"/>
      <c r="AH28" s="254"/>
      <c r="AI28" s="235"/>
      <c r="AJ28" s="421">
        <v>0.7</v>
      </c>
      <c r="AK28" s="422"/>
      <c r="AL28" s="423"/>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row>
    <row r="29" spans="1:76" ht="10.5">
      <c r="A29" s="234"/>
      <c r="B29" s="418"/>
      <c r="C29" s="419"/>
      <c r="D29" s="419"/>
      <c r="E29" s="419"/>
      <c r="F29" s="419"/>
      <c r="G29" s="419"/>
      <c r="H29" s="419"/>
      <c r="I29" s="420"/>
      <c r="J29" s="309"/>
      <c r="K29" s="427">
        <f>'ECKDAT dieb'!I3+VLOOKUP($A$5,'ECKDAT dieb'!$A$26:$J$32,9)+VLOOKUP($R$3,'ECKDAT dieb'!$A$35:$K$51,9)</f>
        <v>0.6</v>
      </c>
      <c r="L29" s="428"/>
      <c r="M29" s="428"/>
      <c r="N29" s="241"/>
      <c r="O29" s="427">
        <f>VLOOKUP($A$5,'ECKDAT dieb'!$A$26:$J$32,9)</f>
        <v>0</v>
      </c>
      <c r="P29" s="429"/>
      <c r="Q29" s="429"/>
      <c r="R29" s="242"/>
      <c r="S29" s="427">
        <f>VLOOKUP($H$3,'ECKDAT dieb'!$A$4:$K$23,9)</f>
        <v>0.95</v>
      </c>
      <c r="T29" s="427"/>
      <c r="U29" s="427"/>
      <c r="V29" s="242"/>
      <c r="W29" s="427">
        <f>VLOOKUP($R$5,'ECKDAT dieb'!$A$54:$J$66,9)</f>
        <v>0</v>
      </c>
      <c r="X29" s="427"/>
      <c r="Y29" s="427"/>
      <c r="Z29" s="430">
        <f>VLOOKUP($R$6,'ECKDAT dieb'!$A$54:$J$66,9)</f>
        <v>0.1</v>
      </c>
      <c r="AA29" s="431"/>
      <c r="AB29" s="432">
        <f>IF(AJ28+Z29&gt;=95%,95%,IF(AJ28+Z29&lt;=0%,1%,AJ28+Z29))</f>
        <v>0.7999999999999999</v>
      </c>
      <c r="AC29" s="433"/>
      <c r="AD29" s="434"/>
      <c r="AE29" s="240"/>
      <c r="AF29" s="432">
        <f>IF(AJ28+W29&gt;=95%,95%,IF(AJ28+W29&lt;=0%,1%,AJ28+W29))</f>
        <v>0.7</v>
      </c>
      <c r="AG29" s="435"/>
      <c r="AH29" s="436"/>
      <c r="AI29" s="240"/>
      <c r="AJ29" s="424"/>
      <c r="AK29" s="425"/>
      <c r="AL29" s="426"/>
      <c r="AM29" s="1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row>
    <row r="30" spans="1:76" ht="10.5">
      <c r="A30" s="234"/>
      <c r="B30" s="244"/>
      <c r="C30" s="243"/>
      <c r="D30" s="243"/>
      <c r="E30" s="243"/>
      <c r="F30" s="243"/>
      <c r="G30" s="243"/>
      <c r="H30" s="243"/>
      <c r="I30" s="243"/>
      <c r="J30" s="302"/>
      <c r="K30" s="245"/>
      <c r="L30" s="246"/>
      <c r="M30" s="246"/>
      <c r="N30" s="247"/>
      <c r="O30" s="245"/>
      <c r="P30" s="248"/>
      <c r="Q30" s="248"/>
      <c r="R30" s="249"/>
      <c r="S30" s="245"/>
      <c r="T30" s="245"/>
      <c r="U30" s="245"/>
      <c r="V30" s="249"/>
      <c r="W30" s="245"/>
      <c r="X30" s="245"/>
      <c r="Y30" s="245"/>
      <c r="Z30" s="247"/>
      <c r="AA30" s="250"/>
      <c r="AB30" s="251"/>
      <c r="AC30" s="252"/>
      <c r="AD30" s="252"/>
      <c r="AE30" s="234"/>
      <c r="AF30" s="251"/>
      <c r="AG30" s="251"/>
      <c r="AH30" s="251"/>
      <c r="AI30" s="234"/>
      <c r="AJ30" s="251"/>
      <c r="AK30" s="251"/>
      <c r="AL30" s="251"/>
      <c r="AM30" s="1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row>
    <row r="31" spans="1:76" ht="10.5" customHeight="1">
      <c r="A31" s="234"/>
      <c r="B31" s="415" t="str">
        <f>(IF(AJ31&lt;K32+O32,"zu Gering",IF(AJ31-O32-K32&gt;VLOOKUP($A$3,'ECKDAT dieb'!$A$4:$N$23,12),"zu HOCH","SPRACHE VERSTEHEN/ LESEN ")))</f>
        <v>SPRACHE VERSTEHEN/ LESEN </v>
      </c>
      <c r="C31" s="416"/>
      <c r="D31" s="416"/>
      <c r="E31" s="416"/>
      <c r="F31" s="416"/>
      <c r="G31" s="416"/>
      <c r="H31" s="416"/>
      <c r="I31" s="417"/>
      <c r="J31" s="220"/>
      <c r="K31" s="237"/>
      <c r="L31" s="237"/>
      <c r="M31" s="237"/>
      <c r="N31" s="253"/>
      <c r="O31" s="237"/>
      <c r="P31" s="237"/>
      <c r="Q31" s="237"/>
      <c r="R31" s="237"/>
      <c r="S31" s="253"/>
      <c r="T31" s="253"/>
      <c r="U31" s="253"/>
      <c r="V31" s="237"/>
      <c r="W31" s="253"/>
      <c r="X31" s="253"/>
      <c r="Y31" s="253"/>
      <c r="Z31" s="247"/>
      <c r="AA31" s="250"/>
      <c r="AB31" s="251"/>
      <c r="AC31" s="251"/>
      <c r="AD31" s="251"/>
      <c r="AE31" s="235"/>
      <c r="AF31" s="254"/>
      <c r="AG31" s="254"/>
      <c r="AH31" s="254"/>
      <c r="AI31" s="235"/>
      <c r="AJ31" s="421">
        <v>0.1</v>
      </c>
      <c r="AK31" s="422"/>
      <c r="AL31" s="423"/>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row>
    <row r="32" spans="1:76" ht="10.5">
      <c r="A32" s="234"/>
      <c r="B32" s="418"/>
      <c r="C32" s="419"/>
      <c r="D32" s="419"/>
      <c r="E32" s="419"/>
      <c r="F32" s="419"/>
      <c r="G32" s="419"/>
      <c r="H32" s="419"/>
      <c r="I32" s="420"/>
      <c r="J32" s="309"/>
      <c r="K32" s="427">
        <f>'ECKDAT dieb'!J3+VLOOKUP($A$5,'ECKDAT dieb'!$A$26:$J$32,10)+VLOOKUP($R$3,'ECKDAT dieb'!$A$35:$K$51,10)</f>
        <v>0</v>
      </c>
      <c r="L32" s="428"/>
      <c r="M32" s="428"/>
      <c r="N32" s="241"/>
      <c r="O32" s="427">
        <f>VLOOKUP($A$5,'ECKDAT dieb'!$A$26:$J$32,10)</f>
        <v>0</v>
      </c>
      <c r="P32" s="429"/>
      <c r="Q32" s="429"/>
      <c r="R32" s="242"/>
      <c r="S32" s="427">
        <f>VLOOKUP($H$3,'ECKDAT dieb'!$A$4:$K$23,10)</f>
        <v>0.95</v>
      </c>
      <c r="T32" s="427"/>
      <c r="U32" s="427"/>
      <c r="V32" s="242"/>
      <c r="W32" s="427">
        <f>VLOOKUP($R$5,'ECKDAT dieb'!$A$54:$J$66,10)</f>
        <v>0</v>
      </c>
      <c r="X32" s="427"/>
      <c r="Y32" s="427"/>
      <c r="Z32" s="430">
        <f>VLOOKUP($R$6,'ECKDAT dieb'!$A$54:$J$66,10)</f>
        <v>0</v>
      </c>
      <c r="AA32" s="431"/>
      <c r="AB32" s="432">
        <f>AJ31</f>
        <v>0.1</v>
      </c>
      <c r="AC32" s="433"/>
      <c r="AD32" s="434"/>
      <c r="AE32" s="240"/>
      <c r="AF32" s="432">
        <f>AJ31</f>
        <v>0.1</v>
      </c>
      <c r="AG32" s="435"/>
      <c r="AH32" s="436"/>
      <c r="AI32" s="240"/>
      <c r="AJ32" s="424"/>
      <c r="AK32" s="425"/>
      <c r="AL32" s="426"/>
      <c r="AM32" s="1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row>
    <row r="33" spans="1:76" ht="10.5">
      <c r="A33" s="234"/>
      <c r="B33" s="244"/>
      <c r="C33" s="243"/>
      <c r="D33" s="243"/>
      <c r="E33" s="243"/>
      <c r="F33" s="243"/>
      <c r="G33" s="243"/>
      <c r="H33" s="243"/>
      <c r="I33" s="243"/>
      <c r="J33" s="235"/>
      <c r="K33" s="303"/>
      <c r="L33" s="304"/>
      <c r="M33" s="304"/>
      <c r="N33" s="305"/>
      <c r="O33" s="303"/>
      <c r="P33" s="306"/>
      <c r="Q33" s="306"/>
      <c r="R33" s="307"/>
      <c r="S33" s="303"/>
      <c r="T33" s="303"/>
      <c r="U33" s="303"/>
      <c r="V33" s="307"/>
      <c r="W33" s="303"/>
      <c r="X33" s="303"/>
      <c r="Y33" s="303"/>
      <c r="Z33" s="307"/>
      <c r="AA33" s="308"/>
      <c r="AB33" s="235"/>
      <c r="AC33" s="234"/>
      <c r="AD33" s="234"/>
      <c r="AE33" s="234"/>
      <c r="AF33" s="261"/>
      <c r="AG33" s="261"/>
      <c r="AH33" s="261"/>
      <c r="AI33" s="234"/>
      <c r="AJ33" s="251"/>
      <c r="AK33" s="251"/>
      <c r="AL33" s="251"/>
      <c r="AM33" s="1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row>
    <row r="34" spans="1:76" ht="10.5">
      <c r="A34" s="234"/>
      <c r="B34" s="415" t="s">
        <v>2072</v>
      </c>
      <c r="C34" s="416"/>
      <c r="D34" s="416"/>
      <c r="E34" s="416"/>
      <c r="F34" s="416"/>
      <c r="G34" s="416"/>
      <c r="H34" s="416"/>
      <c r="I34" s="417"/>
      <c r="J34" s="234"/>
      <c r="K34" s="234"/>
      <c r="L34" s="234"/>
      <c r="M34" s="234"/>
      <c r="N34" s="234"/>
      <c r="O34" s="234"/>
      <c r="P34" s="234"/>
      <c r="Q34" s="234"/>
      <c r="R34" s="234"/>
      <c r="S34" s="234"/>
      <c r="T34" s="234"/>
      <c r="U34" s="234"/>
      <c r="V34" s="234"/>
      <c r="W34" s="255"/>
      <c r="X34" s="255"/>
      <c r="Y34" s="255"/>
      <c r="Z34" s="234"/>
      <c r="AA34" s="255"/>
      <c r="AB34" s="255"/>
      <c r="AC34" s="255"/>
      <c r="AD34" s="234"/>
      <c r="AE34" s="234"/>
      <c r="AF34" s="234"/>
      <c r="AG34" s="234"/>
      <c r="AH34" s="234"/>
      <c r="AI34" s="234"/>
      <c r="AJ34" s="456" t="str">
        <f>VLOOKUP(H3,'ECKDAT dieb'!A4:N23,11)</f>
        <v>x3</v>
      </c>
      <c r="AK34" s="457"/>
      <c r="AL34" s="45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row>
    <row r="35" spans="1:76" ht="12.75" customHeight="1">
      <c r="A35" s="234"/>
      <c r="B35" s="418"/>
      <c r="C35" s="419"/>
      <c r="D35" s="419"/>
      <c r="E35" s="419"/>
      <c r="F35" s="419"/>
      <c r="G35" s="419"/>
      <c r="H35" s="419"/>
      <c r="I35" s="420"/>
      <c r="J35" s="240"/>
      <c r="K35" s="455"/>
      <c r="L35" s="455"/>
      <c r="M35" s="455"/>
      <c r="N35" s="240"/>
      <c r="O35" s="455"/>
      <c r="P35" s="455"/>
      <c r="Q35" s="455"/>
      <c r="R35" s="240"/>
      <c r="S35" s="455"/>
      <c r="T35" s="455"/>
      <c r="U35" s="455"/>
      <c r="V35" s="240"/>
      <c r="W35" s="263"/>
      <c r="X35" s="263"/>
      <c r="Y35" s="263"/>
      <c r="Z35" s="240"/>
      <c r="AA35" s="262"/>
      <c r="AB35" s="262"/>
      <c r="AC35" s="262"/>
      <c r="AD35" s="240"/>
      <c r="AE35" s="240"/>
      <c r="AF35" s="240"/>
      <c r="AG35" s="240"/>
      <c r="AH35" s="240"/>
      <c r="AI35" s="264"/>
      <c r="AJ35" s="459"/>
      <c r="AK35" s="460"/>
      <c r="AL35" s="461"/>
      <c r="AM35" s="1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row>
    <row r="36" spans="1:76" ht="3.75" customHeight="1">
      <c r="A36" s="234"/>
      <c r="B36" s="234"/>
      <c r="C36" s="234"/>
      <c r="D36" s="234"/>
      <c r="E36" s="234"/>
      <c r="F36" s="234"/>
      <c r="G36" s="234"/>
      <c r="H36" s="234"/>
      <c r="I36" s="234"/>
      <c r="J36" s="234"/>
      <c r="K36" s="463">
        <f>SUM(K11:M32)</f>
        <v>2.15</v>
      </c>
      <c r="L36" s="464"/>
      <c r="M36" s="464"/>
      <c r="N36" s="220"/>
      <c r="O36" s="407">
        <f>SUM(O11:Q32)</f>
        <v>0.2</v>
      </c>
      <c r="P36" s="454"/>
      <c r="Q36" s="454"/>
      <c r="R36" s="220"/>
      <c r="S36" s="411">
        <f>SUM(S11:U32)</f>
        <v>7.6000000000000005</v>
      </c>
      <c r="T36" s="453"/>
      <c r="U36" s="453"/>
      <c r="V36" s="220"/>
      <c r="W36" s="407">
        <f>SUM(W11:Y32)</f>
        <v>0</v>
      </c>
      <c r="X36" s="454"/>
      <c r="Y36" s="454"/>
      <c r="Z36" s="220"/>
      <c r="AA36" s="220"/>
      <c r="AB36" s="220"/>
      <c r="AC36" s="220"/>
      <c r="AD36" s="220"/>
      <c r="AE36" s="220"/>
      <c r="AF36" s="220"/>
      <c r="AG36" s="220"/>
      <c r="AH36" s="234"/>
      <c r="AI36" s="234"/>
      <c r="AJ36" s="407">
        <f>SUM(AJ10:AL32)</f>
        <v>4.749999999999999</v>
      </c>
      <c r="AK36" s="454"/>
      <c r="AL36" s="454"/>
      <c r="AM36" s="68"/>
      <c r="AN36" s="68"/>
      <c r="AO36" s="68"/>
      <c r="AP36" s="68"/>
      <c r="AQ36" s="68"/>
      <c r="AR36" s="68"/>
      <c r="AS36" s="68"/>
      <c r="AT36" s="68"/>
      <c r="AU36" s="68"/>
      <c r="AV36" s="68"/>
      <c r="AW36" s="68"/>
      <c r="AX36" s="68"/>
      <c r="AY36" s="68"/>
      <c r="AZ36" s="68"/>
      <c r="BA36" s="68"/>
      <c r="BB36" s="68"/>
      <c r="BC36" s="178"/>
      <c r="BD36" s="180"/>
      <c r="BE36" s="180"/>
      <c r="BF36" s="68"/>
      <c r="BG36" s="68"/>
      <c r="BH36" s="68"/>
      <c r="BI36" s="68"/>
      <c r="BJ36" s="68"/>
      <c r="BK36" s="68"/>
      <c r="BL36" s="68"/>
      <c r="BM36" s="68"/>
      <c r="BN36" s="68"/>
      <c r="BO36" s="68"/>
      <c r="BP36" s="68"/>
      <c r="BQ36" s="68"/>
      <c r="BR36" s="68"/>
      <c r="BS36" s="68"/>
      <c r="BT36" s="68"/>
      <c r="BU36" s="68"/>
      <c r="BV36" s="68"/>
      <c r="BW36" s="68"/>
      <c r="BX36" s="68"/>
    </row>
    <row r="37" spans="1:76" ht="10.5">
      <c r="A37" s="234"/>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414" t="str">
        <f>IF(VLOOKUP(H3,'ECKDAT dieb'!A4:N23,12)='BOGEN "DIEB"'!AJ36-'BOGEN "DIEB"'!O36-'BOGEN "DIEB"'!K36," ",-(AJ36-O36-K36-VLOOKUP(H3,'ECKDAT dieb'!A4:N23,12)))</f>
        <v> </v>
      </c>
      <c r="AK37" s="414"/>
      <c r="AL37" s="414"/>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row>
    <row r="38" spans="1:76" ht="10.5">
      <c r="A38" s="234"/>
      <c r="B38" s="234"/>
      <c r="C38" s="234"/>
      <c r="D38" s="234"/>
      <c r="E38" s="234"/>
      <c r="F38" s="234"/>
      <c r="G38" s="234"/>
      <c r="H38" s="234"/>
      <c r="I38" s="234"/>
      <c r="J38" s="234"/>
      <c r="K38" s="255"/>
      <c r="L38" s="234"/>
      <c r="M38" s="405"/>
      <c r="N38" s="462"/>
      <c r="O38" s="462"/>
      <c r="P38" s="234"/>
      <c r="Q38" s="234"/>
      <c r="R38" s="234"/>
      <c r="S38" s="452"/>
      <c r="T38" s="452"/>
      <c r="U38" s="452"/>
      <c r="V38" s="234"/>
      <c r="W38" s="234"/>
      <c r="X38" s="234"/>
      <c r="Y38" s="234"/>
      <c r="Z38" s="234"/>
      <c r="AA38" s="234"/>
      <c r="AB38" s="234"/>
      <c r="AC38" s="234"/>
      <c r="AD38" s="234"/>
      <c r="AE38" s="234"/>
      <c r="AF38" s="234"/>
      <c r="AG38" s="234"/>
      <c r="AH38" s="234"/>
      <c r="AI38" s="234"/>
      <c r="AJ38" s="234"/>
      <c r="AK38" s="234"/>
      <c r="AL38" s="234"/>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row>
    <row r="39" spans="1:76" ht="12" customHeight="1">
      <c r="A39" s="234"/>
      <c r="B39" s="449" t="s">
        <v>2056</v>
      </c>
      <c r="C39" s="450"/>
      <c r="D39" s="450"/>
      <c r="E39" s="450"/>
      <c r="F39" s="450"/>
      <c r="G39" s="450"/>
      <c r="H39" s="450"/>
      <c r="I39" s="450"/>
      <c r="J39" s="235"/>
      <c r="K39" s="451" t="s">
        <v>2104</v>
      </c>
      <c r="L39" s="451"/>
      <c r="M39" s="451"/>
      <c r="N39" s="451"/>
      <c r="O39" s="451"/>
      <c r="P39" s="451"/>
      <c r="Q39" s="451"/>
      <c r="R39" s="451"/>
      <c r="S39" s="451"/>
      <c r="T39" s="451"/>
      <c r="U39" s="451"/>
      <c r="V39" s="451"/>
      <c r="W39" s="451"/>
      <c r="X39" s="451"/>
      <c r="Y39" s="451"/>
      <c r="Z39" s="451"/>
      <c r="AA39" s="451"/>
      <c r="AB39" s="451"/>
      <c r="AC39" s="451"/>
      <c r="AD39" s="451"/>
      <c r="AE39" s="451"/>
      <c r="AF39" s="451"/>
      <c r="AG39" s="451"/>
      <c r="AH39" s="451"/>
      <c r="AI39" s="451"/>
      <c r="AJ39" s="451"/>
      <c r="AK39" s="451"/>
      <c r="AL39" s="451"/>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row>
    <row r="40" spans="1:76" ht="12" customHeight="1">
      <c r="A40" s="234"/>
      <c r="B40" s="419"/>
      <c r="C40" s="419"/>
      <c r="D40" s="419"/>
      <c r="E40" s="419"/>
      <c r="F40" s="419"/>
      <c r="G40" s="419"/>
      <c r="H40" s="419"/>
      <c r="I40" s="419"/>
      <c r="J40" s="240"/>
      <c r="K40" s="451"/>
      <c r="L40" s="451"/>
      <c r="M40" s="451"/>
      <c r="N40" s="451"/>
      <c r="O40" s="451"/>
      <c r="P40" s="451"/>
      <c r="Q40" s="451"/>
      <c r="R40" s="451"/>
      <c r="S40" s="451"/>
      <c r="T40" s="451"/>
      <c r="U40" s="451"/>
      <c r="V40" s="451"/>
      <c r="W40" s="451"/>
      <c r="X40" s="451"/>
      <c r="Y40" s="451"/>
      <c r="Z40" s="451"/>
      <c r="AA40" s="451"/>
      <c r="AB40" s="451"/>
      <c r="AC40" s="451"/>
      <c r="AD40" s="451"/>
      <c r="AE40" s="451"/>
      <c r="AF40" s="451"/>
      <c r="AG40" s="451"/>
      <c r="AH40" s="451"/>
      <c r="AI40" s="451"/>
      <c r="AJ40" s="451"/>
      <c r="AK40" s="451"/>
      <c r="AL40" s="451"/>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row>
    <row r="41" spans="1:76" ht="6.75" customHeight="1">
      <c r="A41" s="234"/>
      <c r="B41" s="258"/>
      <c r="C41" s="258"/>
      <c r="D41" s="258"/>
      <c r="E41" s="258"/>
      <c r="F41" s="258"/>
      <c r="G41" s="258"/>
      <c r="H41" s="258"/>
      <c r="I41" s="258"/>
      <c r="J41" s="234"/>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row>
    <row r="42" spans="1:76" ht="12" customHeight="1">
      <c r="A42" s="234"/>
      <c r="B42" s="243"/>
      <c r="C42" s="243"/>
      <c r="D42" s="243"/>
      <c r="E42" s="243"/>
      <c r="F42" s="243"/>
      <c r="G42" s="243"/>
      <c r="H42" s="243"/>
      <c r="I42" s="243"/>
      <c r="J42" s="235"/>
      <c r="K42" s="451" t="s">
        <v>2092</v>
      </c>
      <c r="L42" s="451"/>
      <c r="M42" s="451"/>
      <c r="N42" s="451"/>
      <c r="O42" s="451"/>
      <c r="P42" s="451"/>
      <c r="Q42" s="451"/>
      <c r="R42" s="451"/>
      <c r="S42" s="451"/>
      <c r="T42" s="451"/>
      <c r="U42" s="451"/>
      <c r="V42" s="451"/>
      <c r="W42" s="451"/>
      <c r="X42" s="451"/>
      <c r="Y42" s="451"/>
      <c r="Z42" s="451"/>
      <c r="AA42" s="451"/>
      <c r="AB42" s="451"/>
      <c r="AC42" s="451"/>
      <c r="AD42" s="451"/>
      <c r="AE42" s="451"/>
      <c r="AF42" s="451"/>
      <c r="AG42" s="451"/>
      <c r="AH42" s="451"/>
      <c r="AI42" s="451"/>
      <c r="AJ42" s="451"/>
      <c r="AK42" s="451"/>
      <c r="AL42" s="451"/>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row>
    <row r="43" spans="1:76" ht="12" customHeight="1">
      <c r="A43" s="234"/>
      <c r="B43" s="449" t="s">
        <v>2057</v>
      </c>
      <c r="C43" s="450"/>
      <c r="D43" s="450"/>
      <c r="E43" s="450"/>
      <c r="F43" s="450"/>
      <c r="G43" s="450"/>
      <c r="H43" s="450"/>
      <c r="I43" s="450"/>
      <c r="J43" s="235"/>
      <c r="K43" s="451"/>
      <c r="L43" s="451"/>
      <c r="M43" s="451"/>
      <c r="N43" s="451"/>
      <c r="O43" s="451"/>
      <c r="P43" s="451"/>
      <c r="Q43" s="451"/>
      <c r="R43" s="451"/>
      <c r="S43" s="451"/>
      <c r="T43" s="451"/>
      <c r="U43" s="451"/>
      <c r="V43" s="451"/>
      <c r="W43" s="451"/>
      <c r="X43" s="451"/>
      <c r="Y43" s="451"/>
      <c r="Z43" s="451"/>
      <c r="AA43" s="451"/>
      <c r="AB43" s="451"/>
      <c r="AC43" s="451"/>
      <c r="AD43" s="451"/>
      <c r="AE43" s="451"/>
      <c r="AF43" s="451"/>
      <c r="AG43" s="451"/>
      <c r="AH43" s="451"/>
      <c r="AI43" s="451"/>
      <c r="AJ43" s="451"/>
      <c r="AK43" s="451"/>
      <c r="AL43" s="451"/>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8"/>
      <c r="BU43" s="68"/>
      <c r="BV43" s="68"/>
      <c r="BW43" s="68"/>
      <c r="BX43" s="68"/>
    </row>
    <row r="44" spans="1:76" ht="12" customHeight="1">
      <c r="A44" s="234"/>
      <c r="B44" s="419"/>
      <c r="C44" s="419"/>
      <c r="D44" s="419"/>
      <c r="E44" s="419"/>
      <c r="F44" s="419"/>
      <c r="G44" s="419"/>
      <c r="H44" s="419"/>
      <c r="I44" s="419"/>
      <c r="J44" s="240"/>
      <c r="K44" s="451"/>
      <c r="L44" s="451"/>
      <c r="M44" s="451"/>
      <c r="N44" s="451"/>
      <c r="O44" s="451"/>
      <c r="P44" s="451"/>
      <c r="Q44" s="451"/>
      <c r="R44" s="451"/>
      <c r="S44" s="451"/>
      <c r="T44" s="451"/>
      <c r="U44" s="451"/>
      <c r="V44" s="451"/>
      <c r="W44" s="451"/>
      <c r="X44" s="451"/>
      <c r="Y44" s="451"/>
      <c r="Z44" s="451"/>
      <c r="AA44" s="451"/>
      <c r="AB44" s="451"/>
      <c r="AC44" s="451"/>
      <c r="AD44" s="451"/>
      <c r="AE44" s="451"/>
      <c r="AF44" s="451"/>
      <c r="AG44" s="451"/>
      <c r="AH44" s="451"/>
      <c r="AI44" s="451"/>
      <c r="AJ44" s="451"/>
      <c r="AK44" s="451"/>
      <c r="AL44" s="451"/>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row>
    <row r="45" spans="1:76" ht="6.75" customHeight="1">
      <c r="A45" s="234"/>
      <c r="B45" s="258"/>
      <c r="C45" s="258"/>
      <c r="D45" s="258"/>
      <c r="E45" s="258"/>
      <c r="F45" s="258"/>
      <c r="G45" s="258"/>
      <c r="H45" s="258"/>
      <c r="I45" s="258"/>
      <c r="J45" s="234"/>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8"/>
      <c r="BX45" s="68"/>
    </row>
    <row r="46" spans="1:76" ht="12" customHeight="1">
      <c r="A46" s="234"/>
      <c r="B46" s="243"/>
      <c r="C46" s="243"/>
      <c r="D46" s="243"/>
      <c r="E46" s="243"/>
      <c r="F46" s="243"/>
      <c r="G46" s="243"/>
      <c r="H46" s="243"/>
      <c r="I46" s="243"/>
      <c r="J46" s="235"/>
      <c r="K46" s="451" t="s">
        <v>2093</v>
      </c>
      <c r="L46" s="451"/>
      <c r="M46" s="451"/>
      <c r="N46" s="451"/>
      <c r="O46" s="451"/>
      <c r="P46" s="451"/>
      <c r="Q46" s="451"/>
      <c r="R46" s="451"/>
      <c r="S46" s="451"/>
      <c r="T46" s="451"/>
      <c r="U46" s="451"/>
      <c r="V46" s="451"/>
      <c r="W46" s="451"/>
      <c r="X46" s="451"/>
      <c r="Y46" s="451"/>
      <c r="Z46" s="451"/>
      <c r="AA46" s="451"/>
      <c r="AB46" s="451"/>
      <c r="AC46" s="451"/>
      <c r="AD46" s="451"/>
      <c r="AE46" s="451"/>
      <c r="AF46" s="451"/>
      <c r="AG46" s="451"/>
      <c r="AH46" s="451"/>
      <c r="AI46" s="451"/>
      <c r="AJ46" s="451"/>
      <c r="AK46" s="451"/>
      <c r="AL46" s="451"/>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row>
    <row r="47" spans="1:76" ht="12" customHeight="1">
      <c r="A47" s="234"/>
      <c r="B47" s="449" t="s">
        <v>2058</v>
      </c>
      <c r="C47" s="450"/>
      <c r="D47" s="450"/>
      <c r="E47" s="450"/>
      <c r="F47" s="450"/>
      <c r="G47" s="450"/>
      <c r="H47" s="450"/>
      <c r="I47" s="450"/>
      <c r="J47" s="235"/>
      <c r="K47" s="451"/>
      <c r="L47" s="451"/>
      <c r="M47" s="451"/>
      <c r="N47" s="451"/>
      <c r="O47" s="451"/>
      <c r="P47" s="451"/>
      <c r="Q47" s="451"/>
      <c r="R47" s="451"/>
      <c r="S47" s="451"/>
      <c r="T47" s="451"/>
      <c r="U47" s="451"/>
      <c r="V47" s="451"/>
      <c r="W47" s="451"/>
      <c r="X47" s="451"/>
      <c r="Y47" s="451"/>
      <c r="Z47" s="451"/>
      <c r="AA47" s="451"/>
      <c r="AB47" s="451"/>
      <c r="AC47" s="451"/>
      <c r="AD47" s="451"/>
      <c r="AE47" s="451"/>
      <c r="AF47" s="451"/>
      <c r="AG47" s="451"/>
      <c r="AH47" s="451"/>
      <c r="AI47" s="451"/>
      <c r="AJ47" s="451"/>
      <c r="AK47" s="451"/>
      <c r="AL47" s="451"/>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row>
    <row r="48" spans="1:76" ht="12" customHeight="1">
      <c r="A48" s="234"/>
      <c r="B48" s="419"/>
      <c r="C48" s="419"/>
      <c r="D48" s="419"/>
      <c r="E48" s="419"/>
      <c r="F48" s="419"/>
      <c r="G48" s="419"/>
      <c r="H48" s="419"/>
      <c r="I48" s="419"/>
      <c r="J48" s="240"/>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51"/>
      <c r="AJ48" s="451"/>
      <c r="AK48" s="451"/>
      <c r="AL48" s="451"/>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68"/>
      <c r="BW48" s="68"/>
      <c r="BX48" s="68"/>
    </row>
    <row r="49" spans="1:76" ht="6.75" customHeight="1">
      <c r="A49" s="234"/>
      <c r="B49" s="258"/>
      <c r="C49" s="258"/>
      <c r="D49" s="258"/>
      <c r="E49" s="258"/>
      <c r="F49" s="258"/>
      <c r="G49" s="258"/>
      <c r="H49" s="258"/>
      <c r="I49" s="258"/>
      <c r="J49" s="234"/>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68"/>
      <c r="BV49" s="68"/>
      <c r="BW49" s="68"/>
      <c r="BX49" s="68"/>
    </row>
    <row r="50" spans="1:76" ht="12" customHeight="1">
      <c r="A50" s="234"/>
      <c r="B50" s="449" t="s">
        <v>2059</v>
      </c>
      <c r="C50" s="449"/>
      <c r="D50" s="449"/>
      <c r="E50" s="449"/>
      <c r="F50" s="449"/>
      <c r="G50" s="449"/>
      <c r="H50" s="449"/>
      <c r="I50" s="449"/>
      <c r="J50" s="235"/>
      <c r="K50" s="451" t="s">
        <v>2094</v>
      </c>
      <c r="L50" s="451"/>
      <c r="M50" s="451"/>
      <c r="N50" s="451"/>
      <c r="O50" s="451"/>
      <c r="P50" s="451"/>
      <c r="Q50" s="451"/>
      <c r="R50" s="451"/>
      <c r="S50" s="451"/>
      <c r="T50" s="451"/>
      <c r="U50" s="451"/>
      <c r="V50" s="451"/>
      <c r="W50" s="451"/>
      <c r="X50" s="451"/>
      <c r="Y50" s="451"/>
      <c r="Z50" s="451"/>
      <c r="AA50" s="451"/>
      <c r="AB50" s="451"/>
      <c r="AC50" s="451"/>
      <c r="AD50" s="451"/>
      <c r="AE50" s="451"/>
      <c r="AF50" s="451"/>
      <c r="AG50" s="451"/>
      <c r="AH50" s="451"/>
      <c r="AI50" s="451"/>
      <c r="AJ50" s="451"/>
      <c r="AK50" s="451"/>
      <c r="AL50" s="451"/>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row>
    <row r="51" spans="1:76" ht="12" customHeight="1">
      <c r="A51" s="234"/>
      <c r="B51" s="465"/>
      <c r="C51" s="465"/>
      <c r="D51" s="465"/>
      <c r="E51" s="465"/>
      <c r="F51" s="465"/>
      <c r="G51" s="465"/>
      <c r="H51" s="465"/>
      <c r="I51" s="465"/>
      <c r="J51" s="240"/>
      <c r="K51" s="451"/>
      <c r="L51" s="451"/>
      <c r="M51" s="451"/>
      <c r="N51" s="451"/>
      <c r="O51" s="451"/>
      <c r="P51" s="451"/>
      <c r="Q51" s="451"/>
      <c r="R51" s="451"/>
      <c r="S51" s="451"/>
      <c r="T51" s="451"/>
      <c r="U51" s="451"/>
      <c r="V51" s="451"/>
      <c r="W51" s="451"/>
      <c r="X51" s="451"/>
      <c r="Y51" s="451"/>
      <c r="Z51" s="451"/>
      <c r="AA51" s="451"/>
      <c r="AB51" s="451"/>
      <c r="AC51" s="451"/>
      <c r="AD51" s="451"/>
      <c r="AE51" s="451"/>
      <c r="AF51" s="451"/>
      <c r="AG51" s="451"/>
      <c r="AH51" s="451"/>
      <c r="AI51" s="451"/>
      <c r="AJ51" s="451"/>
      <c r="AK51" s="451"/>
      <c r="AL51" s="451"/>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row>
    <row r="52" spans="1:76" ht="6.75" customHeight="1">
      <c r="A52" s="234"/>
      <c r="B52" s="258"/>
      <c r="C52" s="258"/>
      <c r="D52" s="258"/>
      <c r="E52" s="258"/>
      <c r="F52" s="258"/>
      <c r="G52" s="258"/>
      <c r="H52" s="258"/>
      <c r="I52" s="258"/>
      <c r="J52" s="234"/>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row>
    <row r="53" spans="1:76" ht="12" customHeight="1">
      <c r="A53" s="234"/>
      <c r="B53" s="243"/>
      <c r="C53" s="243"/>
      <c r="D53" s="243"/>
      <c r="E53" s="243"/>
      <c r="F53" s="243"/>
      <c r="G53" s="243"/>
      <c r="H53" s="243"/>
      <c r="I53" s="243"/>
      <c r="J53" s="235"/>
      <c r="K53" s="451" t="s">
        <v>2095</v>
      </c>
      <c r="L53" s="451"/>
      <c r="M53" s="451"/>
      <c r="N53" s="451"/>
      <c r="O53" s="451"/>
      <c r="P53" s="451"/>
      <c r="Q53" s="451"/>
      <c r="R53" s="451"/>
      <c r="S53" s="451"/>
      <c r="T53" s="451"/>
      <c r="U53" s="451"/>
      <c r="V53" s="451"/>
      <c r="W53" s="451"/>
      <c r="X53" s="451"/>
      <c r="Y53" s="451"/>
      <c r="Z53" s="451"/>
      <c r="AA53" s="451"/>
      <c r="AB53" s="451"/>
      <c r="AC53" s="451"/>
      <c r="AD53" s="451"/>
      <c r="AE53" s="451"/>
      <c r="AF53" s="451"/>
      <c r="AG53" s="451"/>
      <c r="AH53" s="451"/>
      <c r="AI53" s="451"/>
      <c r="AJ53" s="451"/>
      <c r="AK53" s="451"/>
      <c r="AL53" s="451"/>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68"/>
    </row>
    <row r="54" spans="1:76" ht="12" customHeight="1">
      <c r="A54" s="234"/>
      <c r="B54" s="449" t="s">
        <v>2060</v>
      </c>
      <c r="C54" s="450"/>
      <c r="D54" s="450"/>
      <c r="E54" s="450"/>
      <c r="F54" s="450"/>
      <c r="G54" s="450"/>
      <c r="H54" s="450"/>
      <c r="I54" s="450"/>
      <c r="J54" s="235"/>
      <c r="K54" s="451"/>
      <c r="L54" s="451"/>
      <c r="M54" s="451"/>
      <c r="N54" s="451"/>
      <c r="O54" s="451"/>
      <c r="P54" s="451"/>
      <c r="Q54" s="451"/>
      <c r="R54" s="451"/>
      <c r="S54" s="451"/>
      <c r="T54" s="451"/>
      <c r="U54" s="451"/>
      <c r="V54" s="451"/>
      <c r="W54" s="451"/>
      <c r="X54" s="451"/>
      <c r="Y54" s="451"/>
      <c r="Z54" s="451"/>
      <c r="AA54" s="451"/>
      <c r="AB54" s="451"/>
      <c r="AC54" s="451"/>
      <c r="AD54" s="451"/>
      <c r="AE54" s="451"/>
      <c r="AF54" s="451"/>
      <c r="AG54" s="451"/>
      <c r="AH54" s="451"/>
      <c r="AI54" s="451"/>
      <c r="AJ54" s="451"/>
      <c r="AK54" s="451"/>
      <c r="AL54" s="451"/>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68"/>
      <c r="BV54" s="68"/>
      <c r="BW54" s="68"/>
      <c r="BX54" s="68"/>
    </row>
    <row r="55" spans="1:76" ht="12" customHeight="1">
      <c r="A55" s="234"/>
      <c r="B55" s="419"/>
      <c r="C55" s="419"/>
      <c r="D55" s="419"/>
      <c r="E55" s="419"/>
      <c r="F55" s="419"/>
      <c r="G55" s="419"/>
      <c r="H55" s="419"/>
      <c r="I55" s="419"/>
      <c r="J55" s="240"/>
      <c r="K55" s="451"/>
      <c r="L55" s="451"/>
      <c r="M55" s="451"/>
      <c r="N55" s="451"/>
      <c r="O55" s="451"/>
      <c r="P55" s="451"/>
      <c r="Q55" s="451"/>
      <c r="R55" s="451"/>
      <c r="S55" s="451"/>
      <c r="T55" s="451"/>
      <c r="U55" s="451"/>
      <c r="V55" s="451"/>
      <c r="W55" s="451"/>
      <c r="X55" s="451"/>
      <c r="Y55" s="451"/>
      <c r="Z55" s="451"/>
      <c r="AA55" s="451"/>
      <c r="AB55" s="451"/>
      <c r="AC55" s="451"/>
      <c r="AD55" s="451"/>
      <c r="AE55" s="451"/>
      <c r="AF55" s="451"/>
      <c r="AG55" s="451"/>
      <c r="AH55" s="451"/>
      <c r="AI55" s="451"/>
      <c r="AJ55" s="451"/>
      <c r="AK55" s="451"/>
      <c r="AL55" s="451"/>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row>
    <row r="56" spans="1:76" ht="6.75" customHeight="1">
      <c r="A56" s="234"/>
      <c r="B56" s="258"/>
      <c r="C56" s="258"/>
      <c r="D56" s="258"/>
      <c r="E56" s="258"/>
      <c r="F56" s="258"/>
      <c r="G56" s="258"/>
      <c r="H56" s="258"/>
      <c r="I56" s="258"/>
      <c r="J56" s="234"/>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row>
    <row r="57" spans="1:76" ht="12" customHeight="1">
      <c r="A57" s="234"/>
      <c r="B57" s="449" t="s">
        <v>2061</v>
      </c>
      <c r="C57" s="450"/>
      <c r="D57" s="450"/>
      <c r="E57" s="450"/>
      <c r="F57" s="450"/>
      <c r="G57" s="450"/>
      <c r="H57" s="450"/>
      <c r="I57" s="450"/>
      <c r="J57" s="235"/>
      <c r="K57" s="451" t="s">
        <v>2096</v>
      </c>
      <c r="L57" s="451"/>
      <c r="M57" s="451"/>
      <c r="N57" s="451"/>
      <c r="O57" s="451"/>
      <c r="P57" s="451"/>
      <c r="Q57" s="451"/>
      <c r="R57" s="451"/>
      <c r="S57" s="451"/>
      <c r="T57" s="451"/>
      <c r="U57" s="451"/>
      <c r="V57" s="451"/>
      <c r="W57" s="451"/>
      <c r="X57" s="451"/>
      <c r="Y57" s="451"/>
      <c r="Z57" s="451"/>
      <c r="AA57" s="451"/>
      <c r="AB57" s="451"/>
      <c r="AC57" s="451"/>
      <c r="AD57" s="451"/>
      <c r="AE57" s="451"/>
      <c r="AF57" s="451"/>
      <c r="AG57" s="451"/>
      <c r="AH57" s="451"/>
      <c r="AI57" s="451"/>
      <c r="AJ57" s="451"/>
      <c r="AK57" s="451"/>
      <c r="AL57" s="451"/>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row>
    <row r="58" spans="1:76" ht="12" customHeight="1">
      <c r="A58" s="234"/>
      <c r="B58" s="419"/>
      <c r="C58" s="419"/>
      <c r="D58" s="419"/>
      <c r="E58" s="419"/>
      <c r="F58" s="419"/>
      <c r="G58" s="419"/>
      <c r="H58" s="419"/>
      <c r="I58" s="419"/>
      <c r="J58" s="240"/>
      <c r="K58" s="451"/>
      <c r="L58" s="451"/>
      <c r="M58" s="451"/>
      <c r="N58" s="451"/>
      <c r="O58" s="451"/>
      <c r="P58" s="451"/>
      <c r="Q58" s="451"/>
      <c r="R58" s="451"/>
      <c r="S58" s="451"/>
      <c r="T58" s="451"/>
      <c r="U58" s="451"/>
      <c r="V58" s="451"/>
      <c r="W58" s="451"/>
      <c r="X58" s="451"/>
      <c r="Y58" s="451"/>
      <c r="Z58" s="451"/>
      <c r="AA58" s="451"/>
      <c r="AB58" s="451"/>
      <c r="AC58" s="451"/>
      <c r="AD58" s="451"/>
      <c r="AE58" s="451"/>
      <c r="AF58" s="451"/>
      <c r="AG58" s="451"/>
      <c r="AH58" s="451"/>
      <c r="AI58" s="451"/>
      <c r="AJ58" s="451"/>
      <c r="AK58" s="451"/>
      <c r="AL58" s="451"/>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184"/>
      <c r="BT58" s="68"/>
      <c r="BU58" s="68"/>
      <c r="BV58" s="68"/>
      <c r="BW58" s="68"/>
      <c r="BX58" s="68"/>
    </row>
    <row r="59" spans="1:76" ht="6.75" customHeight="1">
      <c r="A59" s="234"/>
      <c r="B59" s="258"/>
      <c r="C59" s="258"/>
      <c r="D59" s="258"/>
      <c r="E59" s="258"/>
      <c r="F59" s="258"/>
      <c r="G59" s="258"/>
      <c r="H59" s="258"/>
      <c r="I59" s="258"/>
      <c r="J59" s="234"/>
      <c r="K59" s="235"/>
      <c r="L59" s="235"/>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68"/>
      <c r="AN59" s="68"/>
      <c r="AO59" s="68"/>
      <c r="AP59" s="68"/>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5"/>
      <c r="BR59" s="185"/>
      <c r="BS59" s="68"/>
      <c r="BT59" s="68"/>
      <c r="BU59" s="68"/>
      <c r="BV59" s="68"/>
      <c r="BW59" s="68"/>
      <c r="BX59" s="68"/>
    </row>
    <row r="60" spans="1:76" ht="12" customHeight="1">
      <c r="A60" s="234"/>
      <c r="B60" s="449" t="s">
        <v>2062</v>
      </c>
      <c r="C60" s="450"/>
      <c r="D60" s="450"/>
      <c r="E60" s="450"/>
      <c r="F60" s="450"/>
      <c r="G60" s="450"/>
      <c r="H60" s="450"/>
      <c r="I60" s="450"/>
      <c r="J60" s="235"/>
      <c r="K60" s="451" t="s">
        <v>2097</v>
      </c>
      <c r="L60" s="451"/>
      <c r="M60" s="451"/>
      <c r="N60" s="451"/>
      <c r="O60" s="451"/>
      <c r="P60" s="451"/>
      <c r="Q60" s="451"/>
      <c r="R60" s="451"/>
      <c r="S60" s="451"/>
      <c r="T60" s="451"/>
      <c r="U60" s="451"/>
      <c r="V60" s="451"/>
      <c r="W60" s="451"/>
      <c r="X60" s="451"/>
      <c r="Y60" s="451"/>
      <c r="Z60" s="451"/>
      <c r="AA60" s="451"/>
      <c r="AB60" s="451"/>
      <c r="AC60" s="451"/>
      <c r="AD60" s="451"/>
      <c r="AE60" s="451"/>
      <c r="AF60" s="451"/>
      <c r="AG60" s="451"/>
      <c r="AH60" s="451"/>
      <c r="AI60" s="451"/>
      <c r="AJ60" s="451"/>
      <c r="AK60" s="451"/>
      <c r="AL60" s="451"/>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row>
    <row r="61" spans="1:76" ht="12" customHeight="1">
      <c r="A61" s="234"/>
      <c r="B61" s="419"/>
      <c r="C61" s="419"/>
      <c r="D61" s="419"/>
      <c r="E61" s="419"/>
      <c r="F61" s="419"/>
      <c r="G61" s="419"/>
      <c r="H61" s="419"/>
      <c r="I61" s="419"/>
      <c r="J61" s="240"/>
      <c r="K61" s="451"/>
      <c r="L61" s="451"/>
      <c r="M61" s="451"/>
      <c r="N61" s="451"/>
      <c r="O61" s="451"/>
      <c r="P61" s="451"/>
      <c r="Q61" s="451"/>
      <c r="R61" s="451"/>
      <c r="S61" s="451"/>
      <c r="T61" s="451"/>
      <c r="U61" s="451"/>
      <c r="V61" s="451"/>
      <c r="W61" s="451"/>
      <c r="X61" s="451"/>
      <c r="Y61" s="451"/>
      <c r="Z61" s="451"/>
      <c r="AA61" s="451"/>
      <c r="AB61" s="451"/>
      <c r="AC61" s="451"/>
      <c r="AD61" s="451"/>
      <c r="AE61" s="451"/>
      <c r="AF61" s="451"/>
      <c r="AG61" s="451"/>
      <c r="AH61" s="451"/>
      <c r="AI61" s="451"/>
      <c r="AJ61" s="451"/>
      <c r="AK61" s="451"/>
      <c r="AL61" s="451"/>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row>
    <row r="62" spans="1:76" ht="6.75" customHeight="1">
      <c r="A62" s="234"/>
      <c r="B62" s="258"/>
      <c r="C62" s="258"/>
      <c r="D62" s="258"/>
      <c r="E62" s="258"/>
      <c r="F62" s="258"/>
      <c r="G62" s="258"/>
      <c r="H62" s="258"/>
      <c r="I62" s="258"/>
      <c r="J62" s="234"/>
      <c r="K62" s="235"/>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c r="BX62" s="68"/>
    </row>
    <row r="63" spans="1:76" ht="10.5">
      <c r="A63" s="234"/>
      <c r="B63" s="258"/>
      <c r="C63" s="258"/>
      <c r="D63" s="258"/>
      <c r="E63" s="258"/>
      <c r="F63" s="258"/>
      <c r="G63" s="258"/>
      <c r="H63" s="258"/>
      <c r="I63" s="258"/>
      <c r="J63" s="234"/>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row>
    <row r="64" spans="1:76" ht="12" customHeight="1">
      <c r="A64" s="234"/>
      <c r="B64" s="449" t="s">
        <v>2091</v>
      </c>
      <c r="C64" s="450"/>
      <c r="D64" s="450"/>
      <c r="E64" s="450"/>
      <c r="F64" s="450"/>
      <c r="G64" s="450"/>
      <c r="H64" s="450"/>
      <c r="I64" s="450"/>
      <c r="J64" s="235"/>
      <c r="K64" s="451" t="s">
        <v>2098</v>
      </c>
      <c r="L64" s="451"/>
      <c r="M64" s="451"/>
      <c r="N64" s="451"/>
      <c r="O64" s="451"/>
      <c r="P64" s="451"/>
      <c r="Q64" s="451"/>
      <c r="R64" s="451"/>
      <c r="S64" s="451"/>
      <c r="T64" s="451"/>
      <c r="U64" s="451"/>
      <c r="V64" s="451"/>
      <c r="W64" s="451"/>
      <c r="X64" s="451"/>
      <c r="Y64" s="451"/>
      <c r="Z64" s="451"/>
      <c r="AA64" s="451"/>
      <c r="AB64" s="451"/>
      <c r="AC64" s="451"/>
      <c r="AD64" s="451"/>
      <c r="AE64" s="451"/>
      <c r="AF64" s="451"/>
      <c r="AG64" s="451"/>
      <c r="AH64" s="451"/>
      <c r="AI64" s="451"/>
      <c r="AJ64" s="451"/>
      <c r="AK64" s="451"/>
      <c r="AL64" s="451"/>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68"/>
    </row>
    <row r="65" spans="1:76" ht="12" customHeight="1">
      <c r="A65" s="234"/>
      <c r="B65" s="419"/>
      <c r="C65" s="419"/>
      <c r="D65" s="419"/>
      <c r="E65" s="419"/>
      <c r="F65" s="419"/>
      <c r="G65" s="419"/>
      <c r="H65" s="419"/>
      <c r="I65" s="419"/>
      <c r="J65" s="240"/>
      <c r="K65" s="451"/>
      <c r="L65" s="451"/>
      <c r="M65" s="451"/>
      <c r="N65" s="451"/>
      <c r="O65" s="451"/>
      <c r="P65" s="451"/>
      <c r="Q65" s="451"/>
      <c r="R65" s="451"/>
      <c r="S65" s="451"/>
      <c r="T65" s="451"/>
      <c r="U65" s="451"/>
      <c r="V65" s="451"/>
      <c r="W65" s="451"/>
      <c r="X65" s="451"/>
      <c r="Y65" s="451"/>
      <c r="Z65" s="451"/>
      <c r="AA65" s="451"/>
      <c r="AB65" s="451"/>
      <c r="AC65" s="451"/>
      <c r="AD65" s="451"/>
      <c r="AE65" s="451"/>
      <c r="AF65" s="451"/>
      <c r="AG65" s="451"/>
      <c r="AH65" s="451"/>
      <c r="AI65" s="451"/>
      <c r="AJ65" s="451"/>
      <c r="AK65" s="451"/>
      <c r="AL65" s="451"/>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row>
    <row r="66" spans="1:76" ht="6.75" customHeight="1">
      <c r="A66" s="234"/>
      <c r="B66" s="258"/>
      <c r="C66" s="258"/>
      <c r="D66" s="258"/>
      <c r="E66" s="258"/>
      <c r="F66" s="258"/>
      <c r="G66" s="258"/>
      <c r="H66" s="258"/>
      <c r="I66" s="258"/>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row>
    <row r="67" spans="1:76" ht="10.5">
      <c r="A67" s="234"/>
      <c r="B67" s="258"/>
      <c r="C67" s="258"/>
      <c r="D67" s="258"/>
      <c r="E67" s="258"/>
      <c r="F67" s="258"/>
      <c r="G67" s="258"/>
      <c r="H67" s="258"/>
      <c r="I67" s="258"/>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68"/>
    </row>
    <row r="68" spans="1:76" ht="12" customHeight="1">
      <c r="A68" s="234"/>
      <c r="B68" s="449" t="s">
        <v>2072</v>
      </c>
      <c r="C68" s="450"/>
      <c r="D68" s="450"/>
      <c r="E68" s="450"/>
      <c r="F68" s="450"/>
      <c r="G68" s="450"/>
      <c r="H68" s="450"/>
      <c r="I68" s="450"/>
      <c r="J68" s="235"/>
      <c r="K68" s="451" t="s">
        <v>2099</v>
      </c>
      <c r="L68" s="451"/>
      <c r="M68" s="451"/>
      <c r="N68" s="451"/>
      <c r="O68" s="451"/>
      <c r="P68" s="451"/>
      <c r="Q68" s="451"/>
      <c r="R68" s="451"/>
      <c r="S68" s="451"/>
      <c r="T68" s="451"/>
      <c r="U68" s="451"/>
      <c r="V68" s="451"/>
      <c r="W68" s="451"/>
      <c r="X68" s="451"/>
      <c r="Y68" s="451"/>
      <c r="Z68" s="451"/>
      <c r="AA68" s="451"/>
      <c r="AB68" s="451"/>
      <c r="AC68" s="451"/>
      <c r="AD68" s="451"/>
      <c r="AE68" s="451"/>
      <c r="AF68" s="451"/>
      <c r="AG68" s="451"/>
      <c r="AH68" s="451"/>
      <c r="AI68" s="451"/>
      <c r="AJ68" s="451"/>
      <c r="AK68" s="451"/>
      <c r="AL68" s="451"/>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row>
    <row r="69" spans="1:76" ht="12" customHeight="1">
      <c r="A69" s="234"/>
      <c r="B69" s="419"/>
      <c r="C69" s="419"/>
      <c r="D69" s="419"/>
      <c r="E69" s="419"/>
      <c r="F69" s="419"/>
      <c r="G69" s="419"/>
      <c r="H69" s="419"/>
      <c r="I69" s="419"/>
      <c r="J69" s="240"/>
      <c r="K69" s="451"/>
      <c r="L69" s="451"/>
      <c r="M69" s="451"/>
      <c r="N69" s="451"/>
      <c r="O69" s="451"/>
      <c r="P69" s="451"/>
      <c r="Q69" s="451"/>
      <c r="R69" s="451"/>
      <c r="S69" s="451"/>
      <c r="T69" s="451"/>
      <c r="U69" s="451"/>
      <c r="V69" s="451"/>
      <c r="W69" s="451"/>
      <c r="X69" s="451"/>
      <c r="Y69" s="451"/>
      <c r="Z69" s="451"/>
      <c r="AA69" s="451"/>
      <c r="AB69" s="451"/>
      <c r="AC69" s="451"/>
      <c r="AD69" s="451"/>
      <c r="AE69" s="451"/>
      <c r="AF69" s="451"/>
      <c r="AG69" s="451"/>
      <c r="AH69" s="451"/>
      <c r="AI69" s="451"/>
      <c r="AJ69" s="451"/>
      <c r="AK69" s="451"/>
      <c r="AL69" s="451"/>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68"/>
    </row>
    <row r="70" spans="1:76" ht="6.75" customHeight="1">
      <c r="A70" s="234"/>
      <c r="B70" s="258"/>
      <c r="C70" s="258"/>
      <c r="D70" s="258"/>
      <c r="E70" s="258"/>
      <c r="F70" s="258"/>
      <c r="G70" s="258"/>
      <c r="H70" s="258"/>
      <c r="I70" s="258"/>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row>
    <row r="71" spans="1:76" ht="10.5">
      <c r="A71" s="234"/>
      <c r="B71" s="258"/>
      <c r="C71" s="258"/>
      <c r="D71" s="258"/>
      <c r="E71" s="258"/>
      <c r="F71" s="258"/>
      <c r="G71" s="258"/>
      <c r="H71" s="258"/>
      <c r="I71" s="258"/>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4"/>
      <c r="AI71" s="234"/>
      <c r="AJ71" s="234"/>
      <c r="AK71" s="234"/>
      <c r="AL71" s="234"/>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68"/>
    </row>
    <row r="72" spans="1:76" ht="12" customHeight="1">
      <c r="A72" s="234"/>
      <c r="B72" s="449" t="s">
        <v>2100</v>
      </c>
      <c r="C72" s="450"/>
      <c r="D72" s="450"/>
      <c r="E72" s="450"/>
      <c r="F72" s="450"/>
      <c r="G72" s="450"/>
      <c r="H72" s="450"/>
      <c r="I72" s="450"/>
      <c r="J72" s="235"/>
      <c r="K72" s="451" t="s">
        <v>2101</v>
      </c>
      <c r="L72" s="451"/>
      <c r="M72" s="451"/>
      <c r="N72" s="451"/>
      <c r="O72" s="451"/>
      <c r="P72" s="451"/>
      <c r="Q72" s="451"/>
      <c r="R72" s="451"/>
      <c r="S72" s="451"/>
      <c r="T72" s="451"/>
      <c r="U72" s="451"/>
      <c r="V72" s="451"/>
      <c r="W72" s="451"/>
      <c r="X72" s="451"/>
      <c r="Y72" s="451"/>
      <c r="Z72" s="451"/>
      <c r="AA72" s="451"/>
      <c r="AB72" s="451"/>
      <c r="AC72" s="451"/>
      <c r="AD72" s="451"/>
      <c r="AE72" s="451"/>
      <c r="AF72" s="451"/>
      <c r="AG72" s="451"/>
      <c r="AH72" s="451"/>
      <c r="AI72" s="451"/>
      <c r="AJ72" s="451"/>
      <c r="AK72" s="451"/>
      <c r="AL72" s="451"/>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row>
    <row r="73" spans="1:76" ht="12" customHeight="1">
      <c r="A73" s="234"/>
      <c r="B73" s="419"/>
      <c r="C73" s="419"/>
      <c r="D73" s="419"/>
      <c r="E73" s="419"/>
      <c r="F73" s="419"/>
      <c r="G73" s="419"/>
      <c r="H73" s="419"/>
      <c r="I73" s="419"/>
      <c r="J73" s="240"/>
      <c r="K73" s="451"/>
      <c r="L73" s="451"/>
      <c r="M73" s="451"/>
      <c r="N73" s="451"/>
      <c r="O73" s="451"/>
      <c r="P73" s="451"/>
      <c r="Q73" s="451"/>
      <c r="R73" s="451"/>
      <c r="S73" s="451"/>
      <c r="T73" s="451"/>
      <c r="U73" s="451"/>
      <c r="V73" s="451"/>
      <c r="W73" s="451"/>
      <c r="X73" s="451"/>
      <c r="Y73" s="451"/>
      <c r="Z73" s="451"/>
      <c r="AA73" s="451"/>
      <c r="AB73" s="451"/>
      <c r="AC73" s="451"/>
      <c r="AD73" s="451"/>
      <c r="AE73" s="451"/>
      <c r="AF73" s="451"/>
      <c r="AG73" s="451"/>
      <c r="AH73" s="451"/>
      <c r="AI73" s="451"/>
      <c r="AJ73" s="451"/>
      <c r="AK73" s="451"/>
      <c r="AL73" s="451"/>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row>
    <row r="74" spans="1:76" ht="6.75" customHeight="1">
      <c r="A74" s="234"/>
      <c r="B74" s="258"/>
      <c r="C74" s="258"/>
      <c r="D74" s="258"/>
      <c r="E74" s="258"/>
      <c r="F74" s="258"/>
      <c r="G74" s="265"/>
      <c r="H74" s="265"/>
      <c r="I74" s="265"/>
      <c r="J74" s="266"/>
      <c r="K74" s="266"/>
      <c r="L74" s="266"/>
      <c r="M74" s="266"/>
      <c r="N74" s="266"/>
      <c r="O74" s="266"/>
      <c r="P74" s="266"/>
      <c r="Q74" s="266"/>
      <c r="R74" s="266"/>
      <c r="S74" s="266"/>
      <c r="T74" s="266"/>
      <c r="U74" s="266"/>
      <c r="V74" s="266"/>
      <c r="W74" s="266"/>
      <c r="X74" s="266"/>
      <c r="Y74" s="266"/>
      <c r="Z74" s="266"/>
      <c r="AA74" s="266"/>
      <c r="AB74" s="266"/>
      <c r="AC74" s="266"/>
      <c r="AD74" s="266"/>
      <c r="AE74" s="266"/>
      <c r="AF74" s="266"/>
      <c r="AG74" s="266"/>
      <c r="AH74" s="266"/>
      <c r="AI74" s="234"/>
      <c r="AJ74" s="234"/>
      <c r="AK74" s="234"/>
      <c r="AL74" s="234"/>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row>
    <row r="75" spans="1:76" ht="10.5">
      <c r="A75" s="234"/>
      <c r="B75" s="258"/>
      <c r="C75" s="258"/>
      <c r="D75" s="258"/>
      <c r="E75" s="258"/>
      <c r="F75" s="258"/>
      <c r="G75" s="258"/>
      <c r="H75" s="258"/>
      <c r="I75" s="258"/>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row>
    <row r="76" spans="1:76" ht="12" customHeight="1">
      <c r="A76" s="234"/>
      <c r="B76" s="449" t="s">
        <v>2102</v>
      </c>
      <c r="C76" s="450"/>
      <c r="D76" s="450"/>
      <c r="E76" s="450"/>
      <c r="F76" s="450"/>
      <c r="G76" s="450"/>
      <c r="H76" s="450"/>
      <c r="I76" s="450"/>
      <c r="J76" s="235"/>
      <c r="K76" s="451" t="s">
        <v>2103</v>
      </c>
      <c r="L76" s="451"/>
      <c r="M76" s="451"/>
      <c r="N76" s="451"/>
      <c r="O76" s="451"/>
      <c r="P76" s="451"/>
      <c r="Q76" s="451"/>
      <c r="R76" s="451"/>
      <c r="S76" s="451"/>
      <c r="T76" s="451"/>
      <c r="U76" s="451"/>
      <c r="V76" s="451"/>
      <c r="W76" s="451"/>
      <c r="X76" s="451"/>
      <c r="Y76" s="451"/>
      <c r="Z76" s="451"/>
      <c r="AA76" s="451"/>
      <c r="AB76" s="451"/>
      <c r="AC76" s="451"/>
      <c r="AD76" s="451"/>
      <c r="AE76" s="451"/>
      <c r="AF76" s="451"/>
      <c r="AG76" s="451"/>
      <c r="AH76" s="451"/>
      <c r="AI76" s="451"/>
      <c r="AJ76" s="451"/>
      <c r="AK76" s="451"/>
      <c r="AL76" s="451"/>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68"/>
    </row>
    <row r="77" spans="1:76" ht="12" customHeight="1">
      <c r="A77" s="234"/>
      <c r="B77" s="419"/>
      <c r="C77" s="419"/>
      <c r="D77" s="419"/>
      <c r="E77" s="419"/>
      <c r="F77" s="419"/>
      <c r="G77" s="419"/>
      <c r="H77" s="419"/>
      <c r="I77" s="419"/>
      <c r="J77" s="240"/>
      <c r="K77" s="451"/>
      <c r="L77" s="451"/>
      <c r="M77" s="451"/>
      <c r="N77" s="451"/>
      <c r="O77" s="451"/>
      <c r="P77" s="451"/>
      <c r="Q77" s="451"/>
      <c r="R77" s="451"/>
      <c r="S77" s="451"/>
      <c r="T77" s="451"/>
      <c r="U77" s="451"/>
      <c r="V77" s="451"/>
      <c r="W77" s="451"/>
      <c r="X77" s="451"/>
      <c r="Y77" s="451"/>
      <c r="Z77" s="451"/>
      <c r="AA77" s="451"/>
      <c r="AB77" s="451"/>
      <c r="AC77" s="451"/>
      <c r="AD77" s="451"/>
      <c r="AE77" s="451"/>
      <c r="AF77" s="451"/>
      <c r="AG77" s="451"/>
      <c r="AH77" s="451"/>
      <c r="AI77" s="451"/>
      <c r="AJ77" s="451"/>
      <c r="AK77" s="451"/>
      <c r="AL77" s="451"/>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68"/>
    </row>
    <row r="78" spans="1:76" ht="10.5">
      <c r="A78" s="234"/>
      <c r="B78" s="234"/>
      <c r="C78" s="234"/>
      <c r="D78" s="234"/>
      <c r="E78" s="234"/>
      <c r="F78" s="234"/>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68"/>
    </row>
    <row r="79" spans="39:76" ht="10.5">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68"/>
    </row>
    <row r="80" spans="39:76" ht="10.5">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row>
    <row r="81" spans="39:76" ht="10.5">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c r="BX81" s="68"/>
    </row>
    <row r="82" spans="39:76" ht="10.5">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row>
    <row r="83" spans="39:76" ht="10.5">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row>
    <row r="84" spans="39:76" ht="10.5">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68"/>
    </row>
    <row r="85" spans="39:76" ht="10.5">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68"/>
    </row>
    <row r="86" spans="39:76" ht="10.5">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row>
    <row r="87" spans="39:76" ht="10.5">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row>
    <row r="88" spans="39:76" ht="10.5">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row>
    <row r="89" spans="39:76" ht="10.5">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8"/>
      <c r="BU89" s="68"/>
      <c r="BV89" s="68"/>
      <c r="BW89" s="68"/>
      <c r="BX89" s="68"/>
    </row>
    <row r="90" spans="39:76" ht="10.5">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row>
    <row r="91" spans="39:76" ht="10.5">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68"/>
    </row>
    <row r="92" spans="39:76" ht="10.5">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68"/>
    </row>
    <row r="93" spans="39:76" ht="10.5">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8"/>
      <c r="BU93" s="68"/>
      <c r="BV93" s="68"/>
      <c r="BW93" s="68"/>
      <c r="BX93" s="68"/>
    </row>
    <row r="94" spans="39:76" ht="10.5">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68"/>
      <c r="BU94" s="68"/>
      <c r="BV94" s="68"/>
      <c r="BW94" s="68"/>
      <c r="BX94" s="68"/>
    </row>
    <row r="95" spans="39:76" ht="10.5">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8"/>
      <c r="BR95" s="68"/>
      <c r="BS95" s="68"/>
      <c r="BT95" s="68"/>
      <c r="BU95" s="68"/>
      <c r="BV95" s="68"/>
      <c r="BW95" s="68"/>
      <c r="BX95" s="68"/>
    </row>
    <row r="96" spans="39:76" ht="10.5">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68"/>
      <c r="BS96" s="68"/>
      <c r="BT96" s="68"/>
      <c r="BU96" s="68"/>
      <c r="BV96" s="68"/>
      <c r="BW96" s="68"/>
      <c r="BX96" s="68"/>
    </row>
    <row r="97" spans="39:76" ht="10.5">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68"/>
      <c r="BR97" s="68"/>
      <c r="BS97" s="68"/>
      <c r="BT97" s="68"/>
      <c r="BU97" s="68"/>
      <c r="BV97" s="68"/>
      <c r="BW97" s="68"/>
      <c r="BX97" s="68"/>
    </row>
  </sheetData>
  <sheetProtection password="C795" sheet="1" objects="1" scenarios="1"/>
  <mergeCells count="117">
    <mergeCell ref="B13:I14"/>
    <mergeCell ref="B16:I17"/>
    <mergeCell ref="B19:I20"/>
    <mergeCell ref="U5:AA5"/>
    <mergeCell ref="B5:F5"/>
    <mergeCell ref="B10:I11"/>
    <mergeCell ref="O17:Q17"/>
    <mergeCell ref="O20:Q20"/>
    <mergeCell ref="K68:AL69"/>
    <mergeCell ref="B72:I73"/>
    <mergeCell ref="K72:AL73"/>
    <mergeCell ref="B76:I77"/>
    <mergeCell ref="K76:AL77"/>
    <mergeCell ref="B68:I69"/>
    <mergeCell ref="B60:I61"/>
    <mergeCell ref="B64:I65"/>
    <mergeCell ref="K50:AL51"/>
    <mergeCell ref="K60:AL61"/>
    <mergeCell ref="K64:AL65"/>
    <mergeCell ref="B54:I55"/>
    <mergeCell ref="K53:AL55"/>
    <mergeCell ref="B57:I58"/>
    <mergeCell ref="K57:AL58"/>
    <mergeCell ref="AC3:AL3"/>
    <mergeCell ref="B47:I48"/>
    <mergeCell ref="K46:AL48"/>
    <mergeCell ref="B50:I51"/>
    <mergeCell ref="B22:I23"/>
    <mergeCell ref="B25:I26"/>
    <mergeCell ref="B28:I29"/>
    <mergeCell ref="B31:I32"/>
    <mergeCell ref="Z23:AA23"/>
    <mergeCell ref="Z26:AA26"/>
    <mergeCell ref="U3:AA3"/>
    <mergeCell ref="B3:F3"/>
    <mergeCell ref="O11:Q11"/>
    <mergeCell ref="H3:Q3"/>
    <mergeCell ref="H5:Q5"/>
    <mergeCell ref="K11:M11"/>
    <mergeCell ref="AB29:AD29"/>
    <mergeCell ref="AB32:AD32"/>
    <mergeCell ref="Z32:AA32"/>
    <mergeCell ref="Z11:AA11"/>
    <mergeCell ref="Z14:AA14"/>
    <mergeCell ref="Z17:AA17"/>
    <mergeCell ref="Z20:AA20"/>
    <mergeCell ref="Z29:AA29"/>
    <mergeCell ref="AB20:AD20"/>
    <mergeCell ref="AJ25:AL26"/>
    <mergeCell ref="AJ22:AL23"/>
    <mergeCell ref="AJ19:AL20"/>
    <mergeCell ref="AJ16:AL17"/>
    <mergeCell ref="AJ34:AL35"/>
    <mergeCell ref="AJ31:AL32"/>
    <mergeCell ref="AJ28:AL29"/>
    <mergeCell ref="B39:I40"/>
    <mergeCell ref="K39:AL40"/>
    <mergeCell ref="M38:O38"/>
    <mergeCell ref="S35:U35"/>
    <mergeCell ref="AJ36:AL36"/>
    <mergeCell ref="AJ37:AL37"/>
    <mergeCell ref="K36:M36"/>
    <mergeCell ref="K32:M32"/>
    <mergeCell ref="K35:M35"/>
    <mergeCell ref="O36:Q36"/>
    <mergeCell ref="K14:M14"/>
    <mergeCell ref="K17:M17"/>
    <mergeCell ref="K20:M20"/>
    <mergeCell ref="K29:M29"/>
    <mergeCell ref="O29:Q29"/>
    <mergeCell ref="K23:M23"/>
    <mergeCell ref="K26:M26"/>
    <mergeCell ref="AJ13:AL14"/>
    <mergeCell ref="AJ10:AL11"/>
    <mergeCell ref="AB11:AD11"/>
    <mergeCell ref="AB14:AD14"/>
    <mergeCell ref="AB9:AD10"/>
    <mergeCell ref="AF9:AH10"/>
    <mergeCell ref="O23:Q23"/>
    <mergeCell ref="O26:Q26"/>
    <mergeCell ref="AB23:AD23"/>
    <mergeCell ref="AB26:AD26"/>
    <mergeCell ref="W36:Y36"/>
    <mergeCell ref="O32:Q32"/>
    <mergeCell ref="O35:Q35"/>
    <mergeCell ref="S14:U14"/>
    <mergeCell ref="S17:U17"/>
    <mergeCell ref="S20:U20"/>
    <mergeCell ref="S23:U23"/>
    <mergeCell ref="O14:Q14"/>
    <mergeCell ref="W29:Y29"/>
    <mergeCell ref="W32:Y32"/>
    <mergeCell ref="S38:U38"/>
    <mergeCell ref="S26:U26"/>
    <mergeCell ref="S29:U29"/>
    <mergeCell ref="S32:U32"/>
    <mergeCell ref="S36:U36"/>
    <mergeCell ref="B34:I35"/>
    <mergeCell ref="B43:I44"/>
    <mergeCell ref="K42:AL44"/>
    <mergeCell ref="AC5:AL5"/>
    <mergeCell ref="AF14:AH14"/>
    <mergeCell ref="W14:Y14"/>
    <mergeCell ref="W17:Y17"/>
    <mergeCell ref="W20:Y20"/>
    <mergeCell ref="W23:Y23"/>
    <mergeCell ref="W26:Y26"/>
    <mergeCell ref="AF32:AH32"/>
    <mergeCell ref="S11:U11"/>
    <mergeCell ref="W11:Y11"/>
    <mergeCell ref="AF11:AH11"/>
    <mergeCell ref="AF29:AH29"/>
    <mergeCell ref="AF26:AH26"/>
    <mergeCell ref="AF23:AH23"/>
    <mergeCell ref="AF20:AH20"/>
    <mergeCell ref="AF17:AH17"/>
    <mergeCell ref="AB17:AD17"/>
  </mergeCells>
  <printOptions/>
  <pageMargins left="0.3937007874015748" right="0.3937007874015748" top="0.1968503937007874" bottom="0.1968503937007874" header="0.5118110236220472" footer="0.5118110236220472"/>
  <pageSetup horizontalDpi="300" verticalDpi="3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Tabelle4"/>
  <dimension ref="A1:AG25"/>
  <sheetViews>
    <sheetView workbookViewId="0" topLeftCell="A1">
      <selection activeCell="Q3" sqref="Q3"/>
    </sheetView>
  </sheetViews>
  <sheetFormatPr defaultColWidth="11.421875" defaultRowHeight="12.75"/>
  <cols>
    <col min="1" max="33" width="3.140625" style="0" customWidth="1"/>
    <col min="34" max="34" width="2.28125" style="0" customWidth="1"/>
    <col min="35" max="16384" width="3.140625" style="0" customWidth="1"/>
  </cols>
  <sheetData>
    <row r="1" ht="12.75">
      <c r="B1" s="269" t="s">
        <v>12</v>
      </c>
    </row>
    <row r="3" spans="1:33" ht="12.75">
      <c r="A3" s="268">
        <v>18</v>
      </c>
      <c r="B3" s="475" t="s">
        <v>2073</v>
      </c>
      <c r="C3" s="372"/>
      <c r="D3" s="372"/>
      <c r="E3" s="372"/>
      <c r="F3" s="372"/>
      <c r="G3" s="372"/>
      <c r="H3" s="372"/>
      <c r="I3" s="175"/>
      <c r="J3" s="443">
        <f>VLOOKUP('BOGEN "MAGIER"'!A3,'ECKDAT magier'!A4:A23,1)</f>
        <v>18</v>
      </c>
      <c r="K3" s="446"/>
      <c r="L3" s="446"/>
      <c r="M3" s="446"/>
      <c r="N3" s="446"/>
      <c r="O3" s="446"/>
      <c r="P3" s="447"/>
      <c r="R3" s="268">
        <v>10</v>
      </c>
      <c r="S3" s="475" t="s">
        <v>268</v>
      </c>
      <c r="T3" s="372"/>
      <c r="U3" s="372"/>
      <c r="V3" s="372"/>
      <c r="W3" s="372"/>
      <c r="X3" s="372"/>
      <c r="Y3" s="372"/>
      <c r="Z3" s="372"/>
      <c r="AA3" s="175"/>
      <c r="AB3" s="476">
        <f>VLOOKUP(R3,'ECKDAT magier'!A54:H70,2)</f>
        <v>18</v>
      </c>
      <c r="AC3" s="477"/>
      <c r="AD3" s="477"/>
      <c r="AE3" s="478"/>
      <c r="AF3" s="80"/>
      <c r="AG3" s="80"/>
    </row>
    <row r="4" spans="4:33" ht="12.75">
      <c r="D4" s="21"/>
      <c r="E4" s="130"/>
      <c r="F4" s="130"/>
      <c r="G4" s="12"/>
      <c r="H4" s="130"/>
      <c r="I4" s="130"/>
      <c r="J4" s="130"/>
      <c r="K4" s="130"/>
      <c r="L4" s="130"/>
      <c r="M4" s="130"/>
      <c r="N4" s="130"/>
      <c r="O4" s="130"/>
      <c r="P4" s="68"/>
      <c r="S4" s="130"/>
      <c r="T4" s="21"/>
      <c r="U4" s="130"/>
      <c r="V4" s="130"/>
      <c r="W4" s="130"/>
      <c r="X4" s="130"/>
      <c r="Y4" s="130"/>
      <c r="Z4" s="130"/>
      <c r="AA4" s="130"/>
      <c r="AB4" s="12"/>
      <c r="AC4" s="12"/>
      <c r="AD4" s="88"/>
      <c r="AE4" s="130"/>
      <c r="AF4" s="130"/>
      <c r="AG4" s="130"/>
    </row>
    <row r="5" spans="1:33" ht="12.75">
      <c r="A5" s="268">
        <v>9</v>
      </c>
      <c r="B5" s="475" t="s">
        <v>272</v>
      </c>
      <c r="C5" s="372"/>
      <c r="D5" s="372"/>
      <c r="E5" s="372"/>
      <c r="F5" s="372"/>
      <c r="G5" s="372"/>
      <c r="H5" s="372"/>
      <c r="I5" s="467" t="str">
        <f>IF(VLOOKUP('BOGEN "MAGIER"'!A5,'ECKDAT magier'!A27:H51,2)="---"," ",VLOOKUP('BOGEN "MAGIER"'!A5,'ECKDAT magier'!A27:H51,2))</f>
        <v>Kampfmagier (Bannwirker)</v>
      </c>
      <c r="J5" s="384"/>
      <c r="K5" s="384"/>
      <c r="L5" s="384"/>
      <c r="M5" s="384"/>
      <c r="N5" s="384"/>
      <c r="O5" s="384"/>
      <c r="P5" s="384"/>
      <c r="Q5" s="385"/>
      <c r="R5" s="267" t="str">
        <f>AB5</f>
        <v>9</v>
      </c>
      <c r="S5" s="475" t="s">
        <v>269</v>
      </c>
      <c r="T5" s="372"/>
      <c r="U5" s="372"/>
      <c r="V5" s="372"/>
      <c r="W5" s="372"/>
      <c r="X5" s="372"/>
      <c r="Y5" s="372"/>
      <c r="Z5" s="372"/>
      <c r="AA5" s="175"/>
      <c r="AB5" s="476" t="str">
        <f>VLOOKUP(R3,'ECKDAT magier'!A54:H70,4)</f>
        <v>9</v>
      </c>
      <c r="AC5" s="477"/>
      <c r="AD5" s="477"/>
      <c r="AE5" s="478"/>
      <c r="AF5" s="80"/>
      <c r="AG5" s="80"/>
    </row>
    <row r="7" spans="2:33" ht="12.75">
      <c r="B7" s="475" t="s">
        <v>273</v>
      </c>
      <c r="C7" s="372"/>
      <c r="D7" s="372"/>
      <c r="E7" s="372"/>
      <c r="F7" s="372"/>
      <c r="G7" s="372"/>
      <c r="H7" s="372"/>
      <c r="I7" s="467" t="str">
        <f>IF(I5=" ","ALLE",IF(VLOOKUP(A5,'ECKDAT magier'!A27:H51,3)=0," ",VLOOKUP(A5,'ECKDAT magier'!A27:H51,3)))</f>
        <v>Bannzauber</v>
      </c>
      <c r="J7" s="384"/>
      <c r="K7" s="384"/>
      <c r="L7" s="384"/>
      <c r="M7" s="384"/>
      <c r="N7" s="384"/>
      <c r="O7" s="384"/>
      <c r="P7" s="384"/>
      <c r="Q7" s="385"/>
      <c r="S7" s="475" t="s">
        <v>270</v>
      </c>
      <c r="T7" s="372"/>
      <c r="U7" s="372"/>
      <c r="V7" s="372"/>
      <c r="W7" s="372"/>
      <c r="X7" s="372"/>
      <c r="Y7" s="372"/>
      <c r="Z7" s="372"/>
      <c r="AA7" s="175"/>
      <c r="AB7" s="479">
        <f>VLOOKUP(R3,'ECKDAT magier'!A54:H70,5)</f>
        <v>0.85</v>
      </c>
      <c r="AC7" s="375"/>
      <c r="AD7" s="375"/>
      <c r="AE7" s="376"/>
      <c r="AF7" s="199"/>
      <c r="AG7" s="199"/>
    </row>
    <row r="8" spans="9:17" ht="12.75">
      <c r="I8" s="467" t="str">
        <f>IF(I5=" "," ",IF(VLOOKUP(A5,'ECKDAT magier'!A27:H51,4)=0," ",VLOOKUP(A5,'ECKDAT magier'!A27:H51,4)))</f>
        <v> </v>
      </c>
      <c r="J8" s="384"/>
      <c r="K8" s="384"/>
      <c r="L8" s="384"/>
      <c r="M8" s="384"/>
      <c r="N8" s="384"/>
      <c r="O8" s="384"/>
      <c r="P8" s="384"/>
      <c r="Q8" s="385"/>
    </row>
    <row r="9" spans="19:33" ht="12.75">
      <c r="S9" s="475" t="s">
        <v>271</v>
      </c>
      <c r="T9" s="475"/>
      <c r="U9" s="475"/>
      <c r="V9" s="475"/>
      <c r="W9" s="475"/>
      <c r="X9" s="475"/>
      <c r="Y9" s="475"/>
      <c r="Z9" s="475"/>
      <c r="AA9" s="175"/>
      <c r="AB9" s="476" t="str">
        <f>VLOOKUP(R3,'ECKDAT magier'!A54:H70,6)</f>
        <v>18</v>
      </c>
      <c r="AC9" s="477"/>
      <c r="AD9" s="477"/>
      <c r="AE9" s="478"/>
      <c r="AF9" s="80"/>
      <c r="AG9" s="80"/>
    </row>
    <row r="10" spans="2:17" ht="12.75">
      <c r="B10" s="475" t="s">
        <v>274</v>
      </c>
      <c r="C10" s="372"/>
      <c r="D10" s="372"/>
      <c r="E10" s="372"/>
      <c r="F10" s="372"/>
      <c r="G10" s="372"/>
      <c r="H10" s="372"/>
      <c r="I10" s="467" t="str">
        <f>IF(I5=" ","KEINE",IF(VLOOKUP(A5,'ECKDAT magier'!A27:H51,5)=0,"KEINE",VLOOKUP(A5,'ECKDAT magier'!A27:H51,5)))</f>
        <v>Illusion</v>
      </c>
      <c r="J10" s="384"/>
      <c r="K10" s="384"/>
      <c r="L10" s="384"/>
      <c r="M10" s="384"/>
      <c r="N10" s="384"/>
      <c r="O10" s="384"/>
      <c r="P10" s="384"/>
      <c r="Q10" s="385"/>
    </row>
    <row r="11" spans="9:17" ht="12.75">
      <c r="I11" s="467" t="str">
        <f>IF(I5=" "," ",IF(VLOOKUP(A5,'ECKDAT magier'!A27:H51,6)=0," ",VLOOKUP(A5,'ECKDAT magier'!A27:H51,6)))</f>
        <v>Veränderung</v>
      </c>
      <c r="J11" s="384"/>
      <c r="K11" s="384"/>
      <c r="L11" s="384"/>
      <c r="M11" s="384"/>
      <c r="N11" s="384"/>
      <c r="O11" s="384"/>
      <c r="P11" s="384"/>
      <c r="Q11" s="385"/>
    </row>
    <row r="12" spans="9:32" ht="12.75">
      <c r="I12" s="467" t="str">
        <f>IF(I5=" "," ",IF(VLOOKUP(A5,'ECKDAT magier'!A27:H51,7)=0," ",VLOOKUP(A5,'ECKDAT magier'!A27:H51,7)))</f>
        <v>Gr. Erkenntniszauber</v>
      </c>
      <c r="J12" s="384"/>
      <c r="K12" s="384"/>
      <c r="L12" s="384"/>
      <c r="M12" s="384"/>
      <c r="N12" s="384"/>
      <c r="O12" s="384"/>
      <c r="P12" s="384"/>
      <c r="Q12" s="385"/>
      <c r="AC12" s="80"/>
      <c r="AD12" s="80"/>
      <c r="AE12" s="80"/>
      <c r="AF12" s="80"/>
    </row>
    <row r="13" spans="9:32" ht="12.75">
      <c r="I13" s="467" t="str">
        <f>IF(I5=" "," ",IF(VLOOKUP(A5,'ECKDAT magier'!A27:H51,8)=0," ",VLOOKUP(A5,'ECKDAT magier'!A27:H51,8)))</f>
        <v> </v>
      </c>
      <c r="J13" s="384"/>
      <c r="K13" s="384"/>
      <c r="L13" s="384"/>
      <c r="M13" s="384"/>
      <c r="N13" s="384"/>
      <c r="O13" s="384"/>
      <c r="P13" s="384"/>
      <c r="Q13" s="385"/>
      <c r="AC13" s="80"/>
      <c r="AD13" s="80"/>
      <c r="AE13" s="80"/>
      <c r="AF13" s="80"/>
    </row>
    <row r="14" spans="9:32" ht="12.75">
      <c r="I14" s="467" t="str">
        <f>IF(I5=" "," ",IF(VLOOKUP(A5,'ECKDAT magier'!A27:I51,9)=0," ",VLOOKUP(A5,'ECKDAT magier'!A27:I51,9)))</f>
        <v> </v>
      </c>
      <c r="J14" s="384"/>
      <c r="K14" s="384"/>
      <c r="L14" s="384"/>
      <c r="M14" s="384"/>
      <c r="N14" s="384"/>
      <c r="O14" s="384"/>
      <c r="P14" s="384"/>
      <c r="Q14" s="385"/>
      <c r="AC14" s="80"/>
      <c r="AD14" s="80"/>
      <c r="AE14" s="80"/>
      <c r="AF14" s="80"/>
    </row>
    <row r="15" spans="29:32" ht="12.75">
      <c r="AC15" s="130"/>
      <c r="AD15" s="130"/>
      <c r="AE15" s="130"/>
      <c r="AF15" s="130"/>
    </row>
    <row r="16" spans="5:31" ht="12.75">
      <c r="E16" s="472" t="s">
        <v>1903</v>
      </c>
      <c r="F16" s="472"/>
      <c r="G16" s="472"/>
      <c r="H16" s="480" t="s">
        <v>1904</v>
      </c>
      <c r="I16" s="481"/>
      <c r="J16" s="482"/>
      <c r="K16" s="468" t="s">
        <v>1905</v>
      </c>
      <c r="L16" s="468"/>
      <c r="M16" s="468"/>
      <c r="N16" s="468" t="s">
        <v>1906</v>
      </c>
      <c r="O16" s="468"/>
      <c r="P16" s="468"/>
      <c r="Q16" s="468" t="s">
        <v>1907</v>
      </c>
      <c r="R16" s="468"/>
      <c r="S16" s="468"/>
      <c r="T16" s="468" t="s">
        <v>1908</v>
      </c>
      <c r="U16" s="468"/>
      <c r="V16" s="468"/>
      <c r="W16" s="468" t="s">
        <v>1909</v>
      </c>
      <c r="X16" s="468"/>
      <c r="Y16" s="468"/>
      <c r="Z16" s="468" t="s">
        <v>1910</v>
      </c>
      <c r="AA16" s="468"/>
      <c r="AB16" s="468"/>
      <c r="AC16" s="471" t="s">
        <v>1911</v>
      </c>
      <c r="AD16" s="472"/>
      <c r="AE16" s="472"/>
    </row>
    <row r="17" spans="5:31" ht="7.5" customHeight="1">
      <c r="E17" s="200"/>
      <c r="F17" s="200"/>
      <c r="G17" s="200"/>
      <c r="H17" s="201"/>
      <c r="I17" s="202"/>
      <c r="J17" s="203"/>
      <c r="K17" s="201"/>
      <c r="L17" s="202"/>
      <c r="M17" s="203"/>
      <c r="N17" s="201"/>
      <c r="O17" s="202"/>
      <c r="P17" s="203"/>
      <c r="Q17" s="201"/>
      <c r="R17" s="202"/>
      <c r="S17" s="203"/>
      <c r="T17" s="201"/>
      <c r="U17" s="202"/>
      <c r="V17" s="203"/>
      <c r="W17" s="201"/>
      <c r="X17" s="202"/>
      <c r="Y17" s="203"/>
      <c r="Z17" s="201"/>
      <c r="AA17" s="202"/>
      <c r="AB17" s="203"/>
      <c r="AC17" s="204"/>
      <c r="AD17" s="205"/>
      <c r="AE17" s="205"/>
    </row>
    <row r="18" spans="2:31" ht="12.75">
      <c r="B18" s="210" t="s">
        <v>2108</v>
      </c>
      <c r="C18" s="200"/>
      <c r="D18" s="200"/>
      <c r="E18" s="474">
        <f>IF((R5-1)&lt;0," ",IF(VLOOKUP(A3,'ECKDAT magier'!A4:J23,2)=0," ",VLOOKUP(A3,'ECKDAT magier'!A4:J23,2)))</f>
        <v>5</v>
      </c>
      <c r="F18" s="474"/>
      <c r="G18" s="474"/>
      <c r="H18" s="469">
        <f>IF((R5-2)&lt;0," ",IF(VLOOKUP(A3,'ECKDAT magier'!A4:J23,3)=0," ",VLOOKUP(A3,'ECKDAT magier'!A4:J23,3)))</f>
        <v>5</v>
      </c>
      <c r="I18" s="470"/>
      <c r="J18" s="473"/>
      <c r="K18" s="469">
        <f>IF((R5-3)&lt;0," ",IF(VLOOKUP(A3,'ECKDAT magier'!A4:J23,4)=0," ",VLOOKUP(A3,'ECKDAT magier'!A4:J23,4)))</f>
        <v>5</v>
      </c>
      <c r="L18" s="470"/>
      <c r="M18" s="473"/>
      <c r="N18" s="469">
        <f>IF((R5-4)&lt;0," ",IF(VLOOKUP(A3,'ECKDAT magier'!A4:J23,5)=0," ",VLOOKUP(A3,'ECKDAT magier'!A4:J23,5)))</f>
        <v>5</v>
      </c>
      <c r="O18" s="470"/>
      <c r="P18" s="473"/>
      <c r="Q18" s="469">
        <f>IF((R5-5)&lt;0," ",IF(VLOOKUP(A3,'ECKDAT magier'!A4:J23,6)=0," ",VLOOKUP(A3,'ECKDAT magier'!A4:J23,6)))</f>
        <v>5</v>
      </c>
      <c r="R18" s="470"/>
      <c r="S18" s="473"/>
      <c r="T18" s="469">
        <f>IF((R5-6)&lt;0," ",IF(VLOOKUP(A3,'ECKDAT magier'!A4:J23,7)=0," ",VLOOKUP(A3,'ECKDAT magier'!A4:J23,7)))</f>
        <v>3</v>
      </c>
      <c r="U18" s="470"/>
      <c r="V18" s="473"/>
      <c r="W18" s="469">
        <f>IF((R5-7)&lt;0," ",IF(VLOOKUP(A3,'ECKDAT magier'!A4:J23,8)=0," ",VLOOKUP(A3,'ECKDAT magier'!A4:J23,8)))</f>
        <v>3</v>
      </c>
      <c r="X18" s="470"/>
      <c r="Y18" s="473"/>
      <c r="Z18" s="469">
        <f>IF((R5-8)&lt;0," ",IF(VLOOKUP(A3,'ECKDAT magier'!A4:J23,9)=0," ",VLOOKUP(A3,'ECKDAT magier'!A4:J23,9)))</f>
        <v>2</v>
      </c>
      <c r="AA18" s="470"/>
      <c r="AB18" s="473"/>
      <c r="AC18" s="469">
        <f>IF((R5-9)&lt;0," ",IF(VLOOKUP(A3,'ECKDAT magier'!A4:J23,10)=0," ",VLOOKUP(A3,'ECKDAT magier'!A4:J23,10)))</f>
        <v>1</v>
      </c>
      <c r="AD18" s="470"/>
      <c r="AE18" s="470"/>
    </row>
    <row r="19" spans="2:31" ht="7.5" customHeight="1">
      <c r="B19" s="211"/>
      <c r="E19" s="200"/>
      <c r="F19" s="200"/>
      <c r="G19" s="200"/>
      <c r="H19" s="201"/>
      <c r="I19" s="202"/>
      <c r="J19" s="203"/>
      <c r="K19" s="201"/>
      <c r="L19" s="202"/>
      <c r="M19" s="203"/>
      <c r="N19" s="201"/>
      <c r="O19" s="202"/>
      <c r="P19" s="203"/>
      <c r="Q19" s="201"/>
      <c r="R19" s="202"/>
      <c r="S19" s="203"/>
      <c r="T19" s="201"/>
      <c r="U19" s="202"/>
      <c r="V19" s="203"/>
      <c r="W19" s="201"/>
      <c r="X19" s="202"/>
      <c r="Y19" s="203"/>
      <c r="Z19" s="201"/>
      <c r="AA19" s="202"/>
      <c r="AB19" s="203"/>
      <c r="AC19" s="201"/>
      <c r="AD19" s="202"/>
      <c r="AE19" s="202"/>
    </row>
    <row r="20" spans="2:31" ht="7.5" customHeight="1">
      <c r="B20" s="211"/>
      <c r="E20" s="213"/>
      <c r="F20" s="213"/>
      <c r="G20" s="214"/>
      <c r="H20" s="212"/>
      <c r="I20" s="213"/>
      <c r="J20" s="214"/>
      <c r="K20" s="212"/>
      <c r="L20" s="213"/>
      <c r="M20" s="214"/>
      <c r="N20" s="212"/>
      <c r="O20" s="213"/>
      <c r="P20" s="214"/>
      <c r="Q20" s="212"/>
      <c r="R20" s="213"/>
      <c r="S20" s="214"/>
      <c r="T20" s="212"/>
      <c r="U20" s="213"/>
      <c r="V20" s="214"/>
      <c r="W20" s="212"/>
      <c r="X20" s="213"/>
      <c r="Y20" s="214"/>
      <c r="Z20" s="212"/>
      <c r="AA20" s="213"/>
      <c r="AB20" s="214"/>
      <c r="AC20" s="204"/>
      <c r="AD20" s="205"/>
      <c r="AE20" s="213"/>
    </row>
    <row r="21" spans="2:31" ht="12.75">
      <c r="B21" s="210" t="s">
        <v>721</v>
      </c>
      <c r="C21" s="200"/>
      <c r="D21" s="200"/>
      <c r="E21" s="470" t="str">
        <f>IF(E18=" "," ",IF(VLOOKUP(A5,'ECKDAT magier'!A27:S51,11)=0," ",VLOOKUP(A5,'ECKDAT magier'!A27:S51,11)))</f>
        <v> </v>
      </c>
      <c r="F21" s="470"/>
      <c r="G21" s="473"/>
      <c r="H21" s="469" t="str">
        <f>IF(H18=" "," ",IF(VLOOKUP(A5,'ECKDAT magier'!A27:S51,12)=0," ",VLOOKUP(A5,'ECKDAT magier'!A27:S51,12)))</f>
        <v> </v>
      </c>
      <c r="I21" s="470"/>
      <c r="J21" s="473"/>
      <c r="K21" s="469" t="str">
        <f>IF(K18=" "," ",IF(VLOOKUP(A5,'ECKDAT magier'!A27:S51,13)=0," ",VLOOKUP(A5,'ECKDAT magier'!A27:S51,13)))</f>
        <v> </v>
      </c>
      <c r="L21" s="470"/>
      <c r="M21" s="473"/>
      <c r="N21" s="469" t="str">
        <f>IF(N18=" "," ",IF(VLOOKUP(A5,'ECKDAT magier'!A27:S51,14)=0," ",VLOOKUP(A5,'ECKDAT magier'!A27:S51,14)))</f>
        <v> </v>
      </c>
      <c r="O21" s="470"/>
      <c r="P21" s="473"/>
      <c r="Q21" s="469" t="str">
        <f>IF(Q18=" "," ",IF(VLOOKUP(A5,'ECKDAT magier'!A27:S51,15)=0," ",VLOOKUP(A5,'ECKDAT magier'!A27:S51,15)))</f>
        <v> </v>
      </c>
      <c r="R21" s="470"/>
      <c r="S21" s="473"/>
      <c r="T21" s="469" t="str">
        <f>IF(T18=" "," ",IF(VLOOKUP(A5,'ECKDAT magier'!A27:S51,16)=0," ",VLOOKUP(A5,'ECKDAT magier'!A27:S51,16)))</f>
        <v> </v>
      </c>
      <c r="U21" s="470"/>
      <c r="V21" s="473"/>
      <c r="W21" s="469" t="str">
        <f>IF(W18=" "," ",IF(VLOOKUP(A5,'ECKDAT magier'!A27:S51,17)=0," ",VLOOKUP(A5,'ECKDAT magier'!A27:S51,17)))</f>
        <v> </v>
      </c>
      <c r="X21" s="470"/>
      <c r="Y21" s="473"/>
      <c r="Z21" s="469" t="str">
        <f>IF(Z18=" "," ",IF(VLOOKUP(A5,'ECKDAT magier'!A27:S51,18)=0," ",VLOOKUP(A5,'ECKDAT magier'!A27:S51,18)))</f>
        <v> </v>
      </c>
      <c r="AA21" s="470"/>
      <c r="AB21" s="473"/>
      <c r="AC21" s="469" t="str">
        <f>IF(AC18=" "," ",IF(VLOOKUP(A5,'ECKDAT magier'!A27:S51,19)=0," ",VLOOKUP(A5,'ECKDAT magier'!A27:S51,19)))</f>
        <v> </v>
      </c>
      <c r="AD21" s="470"/>
      <c r="AE21" s="470"/>
    </row>
    <row r="22" spans="5:31" ht="12.75">
      <c r="E22" s="10"/>
      <c r="F22" s="10"/>
      <c r="G22" s="218"/>
      <c r="H22" s="215"/>
      <c r="I22" s="216"/>
      <c r="J22" s="217"/>
      <c r="K22" s="215"/>
      <c r="L22" s="216"/>
      <c r="M22" s="217"/>
      <c r="N22" s="215"/>
      <c r="O22" s="216"/>
      <c r="P22" s="217"/>
      <c r="Q22" s="215"/>
      <c r="R22" s="216"/>
      <c r="S22" s="217"/>
      <c r="T22" s="215"/>
      <c r="U22" s="216"/>
      <c r="V22" s="217"/>
      <c r="W22" s="215"/>
      <c r="X22" s="216"/>
      <c r="Y22" s="217"/>
      <c r="Z22" s="215"/>
      <c r="AA22" s="216"/>
      <c r="AB22" s="217"/>
      <c r="AC22" s="201"/>
      <c r="AD22" s="202"/>
      <c r="AE22" s="10"/>
    </row>
    <row r="23" ht="12.75" customHeight="1"/>
    <row r="24" spans="5:31" ht="12.75">
      <c r="E24" s="400" t="str">
        <f>IF(VLOOKUP(A5,'ECKDAT magier'!A27:K51,10)=0," ",VLOOKUP(A5,'ECKDAT magier'!A27:K51,10))</f>
        <v> </v>
      </c>
      <c r="F24" s="400"/>
      <c r="G24" s="400"/>
      <c r="H24" s="466"/>
      <c r="I24" s="466"/>
      <c r="J24" s="466"/>
      <c r="K24" s="466"/>
      <c r="L24" s="466"/>
      <c r="M24" s="466"/>
      <c r="N24" s="466"/>
      <c r="O24" s="466"/>
      <c r="P24" s="466"/>
      <c r="Q24" s="466"/>
      <c r="R24" s="466"/>
      <c r="S24" s="466"/>
      <c r="T24" s="466"/>
      <c r="U24" s="466"/>
      <c r="V24" s="466"/>
      <c r="W24" s="466"/>
      <c r="X24" s="466"/>
      <c r="Y24" s="466"/>
      <c r="Z24" s="466"/>
      <c r="AA24" s="466"/>
      <c r="AB24" s="466"/>
      <c r="AC24" s="466"/>
      <c r="AD24" s="466"/>
      <c r="AE24" s="466"/>
    </row>
    <row r="25" spans="5:31" ht="12.75">
      <c r="E25" s="400"/>
      <c r="F25" s="400"/>
      <c r="G25" s="400"/>
      <c r="H25" s="466"/>
      <c r="I25" s="466"/>
      <c r="J25" s="466"/>
      <c r="K25" s="466"/>
      <c r="L25" s="466"/>
      <c r="M25" s="466"/>
      <c r="N25" s="466"/>
      <c r="O25" s="466"/>
      <c r="P25" s="466"/>
      <c r="Q25" s="466"/>
      <c r="R25" s="466"/>
      <c r="S25" s="466"/>
      <c r="T25" s="466"/>
      <c r="U25" s="466"/>
      <c r="V25" s="466"/>
      <c r="W25" s="466"/>
      <c r="X25" s="466"/>
      <c r="Y25" s="466"/>
      <c r="Z25" s="466"/>
      <c r="AA25" s="466"/>
      <c r="AB25" s="466"/>
      <c r="AC25" s="466"/>
      <c r="AD25" s="466"/>
      <c r="AE25" s="466"/>
    </row>
  </sheetData>
  <sheetProtection password="C795" sheet="1" objects="1" scenarios="1"/>
  <mergeCells count="49">
    <mergeCell ref="AC21:AE21"/>
    <mergeCell ref="Q21:S21"/>
    <mergeCell ref="T21:V21"/>
    <mergeCell ref="W21:Y21"/>
    <mergeCell ref="Z21:AB21"/>
    <mergeCell ref="S9:Z9"/>
    <mergeCell ref="E21:G21"/>
    <mergeCell ref="H21:J21"/>
    <mergeCell ref="K21:M21"/>
    <mergeCell ref="N21:P21"/>
    <mergeCell ref="B10:H10"/>
    <mergeCell ref="E16:G16"/>
    <mergeCell ref="H16:J16"/>
    <mergeCell ref="K16:M16"/>
    <mergeCell ref="Z18:AB18"/>
    <mergeCell ref="AB3:AE3"/>
    <mergeCell ref="AB5:AE5"/>
    <mergeCell ref="AB7:AE7"/>
    <mergeCell ref="AB9:AE9"/>
    <mergeCell ref="B3:H3"/>
    <mergeCell ref="S3:Z3"/>
    <mergeCell ref="B7:H7"/>
    <mergeCell ref="B5:H5"/>
    <mergeCell ref="S7:Z7"/>
    <mergeCell ref="S5:Z5"/>
    <mergeCell ref="E18:G18"/>
    <mergeCell ref="H18:J18"/>
    <mergeCell ref="K18:M18"/>
    <mergeCell ref="N18:P18"/>
    <mergeCell ref="N16:P16"/>
    <mergeCell ref="J3:P3"/>
    <mergeCell ref="I14:Q14"/>
    <mergeCell ref="AC18:AE18"/>
    <mergeCell ref="AC16:AE16"/>
    <mergeCell ref="Z16:AB16"/>
    <mergeCell ref="W16:Y16"/>
    <mergeCell ref="Q18:S18"/>
    <mergeCell ref="T18:V18"/>
    <mergeCell ref="W18:Y18"/>
    <mergeCell ref="E24:AE25"/>
    <mergeCell ref="I5:Q5"/>
    <mergeCell ref="I7:Q7"/>
    <mergeCell ref="I8:Q8"/>
    <mergeCell ref="I10:Q10"/>
    <mergeCell ref="I11:Q11"/>
    <mergeCell ref="I12:Q12"/>
    <mergeCell ref="I13:Q13"/>
    <mergeCell ref="T16:V16"/>
    <mergeCell ref="Q16:S16"/>
  </mergeCells>
  <printOptions/>
  <pageMargins left="0.1968503937007874" right="0.1968503937007874" top="0.3937007874015748" bottom="0.1968503937007874" header="0.5118110236220472" footer="0.5118110236220472"/>
  <pageSetup horizontalDpi="300" verticalDpi="3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sheetPr codeName="Tabelle5"/>
  <dimension ref="A1:AE51"/>
  <sheetViews>
    <sheetView workbookViewId="0" topLeftCell="A1">
      <selection activeCell="T20" sqref="T20:V20"/>
    </sheetView>
  </sheetViews>
  <sheetFormatPr defaultColWidth="11.421875" defaultRowHeight="12.75"/>
  <cols>
    <col min="1" max="16384" width="2.7109375" style="200" customWidth="1"/>
  </cols>
  <sheetData>
    <row r="1" ht="12.75">
      <c r="B1" s="269" t="s">
        <v>13</v>
      </c>
    </row>
    <row r="3" spans="2:31" ht="12.75">
      <c r="B3"/>
      <c r="C3"/>
      <c r="D3"/>
      <c r="E3"/>
      <c r="F3"/>
      <c r="G3"/>
      <c r="H3"/>
      <c r="I3"/>
      <c r="J3"/>
      <c r="K3"/>
      <c r="L3"/>
      <c r="M3"/>
      <c r="N3"/>
      <c r="O3"/>
      <c r="P3"/>
      <c r="Q3"/>
      <c r="R3"/>
      <c r="S3"/>
      <c r="T3"/>
      <c r="U3"/>
      <c r="V3"/>
      <c r="W3"/>
      <c r="X3"/>
      <c r="Y3"/>
      <c r="Z3"/>
      <c r="AA3"/>
      <c r="AB3"/>
      <c r="AC3"/>
      <c r="AD3"/>
      <c r="AE3"/>
    </row>
    <row r="4" spans="1:31" ht="12.75">
      <c r="A4" s="296">
        <v>4</v>
      </c>
      <c r="B4" s="475" t="s">
        <v>2073</v>
      </c>
      <c r="C4" s="372"/>
      <c r="D4" s="372"/>
      <c r="E4" s="372"/>
      <c r="F4" s="372"/>
      <c r="G4" s="372"/>
      <c r="H4" s="372"/>
      <c r="I4" s="175"/>
      <c r="J4" s="443">
        <f>VLOOKUP(A4,'ECKDAT priester&amp;druide'!A26:J42,1)</f>
        <v>4</v>
      </c>
      <c r="K4" s="446"/>
      <c r="L4" s="446"/>
      <c r="M4" s="446"/>
      <c r="N4" s="446"/>
      <c r="O4" s="446"/>
      <c r="P4" s="447"/>
      <c r="Q4"/>
      <c r="R4" s="268">
        <v>9</v>
      </c>
      <c r="S4" s="475" t="s">
        <v>33</v>
      </c>
      <c r="T4" s="372"/>
      <c r="U4" s="372"/>
      <c r="V4" s="372"/>
      <c r="W4" s="372"/>
      <c r="X4" s="372"/>
      <c r="Y4" s="372"/>
      <c r="Z4" s="372"/>
      <c r="AA4" s="175"/>
      <c r="AB4" s="476" t="str">
        <f>IF(VLOOKUP(R4,'ECKDAT priester&amp;druide'!A26:J42,2)&lt;&gt;'BOGEN "ALLE"'!A42,"FEHLER",VLOOKUP(R4,'ECKDAT priester&amp;druide'!A26:J42,2))</f>
        <v>FEHLER</v>
      </c>
      <c r="AC4" s="477"/>
      <c r="AD4" s="477"/>
      <c r="AE4" s="478"/>
    </row>
    <row r="5" spans="2:31" ht="12.75">
      <c r="B5" s="280" t="str">
        <f>VLOOKUP(R4,'ECKDAT priester&amp;druide'!A26:J42,5)</f>
        <v>3</v>
      </c>
      <c r="C5" s="280">
        <f>VLOOKUP(R4,'ECKDAT priester&amp;druide'!A26:J42,6)</f>
        <v>0</v>
      </c>
      <c r="D5" s="21"/>
      <c r="E5" s="130"/>
      <c r="F5" s="130"/>
      <c r="G5" s="12"/>
      <c r="H5" s="130"/>
      <c r="I5" s="130"/>
      <c r="J5" s="130"/>
      <c r="K5" s="130"/>
      <c r="L5" s="130"/>
      <c r="M5" s="130"/>
      <c r="N5" s="130"/>
      <c r="O5" s="130"/>
      <c r="P5" s="68"/>
      <c r="Q5"/>
      <c r="R5"/>
      <c r="S5" s="130"/>
      <c r="T5" s="21"/>
      <c r="U5" s="130"/>
      <c r="V5" s="130"/>
      <c r="W5" s="130"/>
      <c r="X5" s="130"/>
      <c r="Y5" s="130"/>
      <c r="Z5" s="130"/>
      <c r="AA5" s="130"/>
      <c r="AB5" s="12"/>
      <c r="AC5" s="12"/>
      <c r="AD5" s="88"/>
      <c r="AE5" s="130"/>
    </row>
    <row r="6" spans="1:31" ht="12.75">
      <c r="A6" s="267">
        <f>J6</f>
        <v>6</v>
      </c>
      <c r="B6" s="475" t="s">
        <v>269</v>
      </c>
      <c r="C6" s="372"/>
      <c r="D6" s="372"/>
      <c r="E6" s="372"/>
      <c r="F6" s="372"/>
      <c r="G6" s="372"/>
      <c r="H6" s="372"/>
      <c r="I6" s="372"/>
      <c r="J6" s="476">
        <f>VLOOKUP(R4,'ECKDAT priester&amp;druide'!A26:L42,12)</f>
        <v>6</v>
      </c>
      <c r="K6" s="384"/>
      <c r="L6" s="384"/>
      <c r="M6" s="384"/>
      <c r="N6" s="384"/>
      <c r="O6" s="384"/>
      <c r="P6" s="385"/>
      <c r="Q6" s="221"/>
      <c r="S6" s="475" t="s">
        <v>34</v>
      </c>
      <c r="T6" s="372"/>
      <c r="U6" s="372"/>
      <c r="V6" s="372"/>
      <c r="W6" s="372"/>
      <c r="X6" s="372"/>
      <c r="Y6" s="372"/>
      <c r="Z6" s="372"/>
      <c r="AA6" s="488"/>
      <c r="AB6" s="479">
        <f>VLOOKUP(R4,'ECKDAT priester&amp;druide'!A26:J42,8)</f>
        <v>0</v>
      </c>
      <c r="AC6" s="375"/>
      <c r="AD6" s="375"/>
      <c r="AE6" s="376"/>
    </row>
    <row r="7" spans="2:31" ht="12.75">
      <c r="B7"/>
      <c r="C7"/>
      <c r="D7"/>
      <c r="E7"/>
      <c r="F7"/>
      <c r="G7"/>
      <c r="H7"/>
      <c r="I7"/>
      <c r="J7"/>
      <c r="K7"/>
      <c r="L7"/>
      <c r="M7"/>
      <c r="N7"/>
      <c r="O7"/>
      <c r="P7"/>
      <c r="Q7"/>
      <c r="R7"/>
      <c r="S7"/>
      <c r="T7"/>
      <c r="U7"/>
      <c r="V7"/>
      <c r="W7"/>
      <c r="X7"/>
      <c r="Y7"/>
      <c r="Z7"/>
      <c r="AA7"/>
      <c r="AB7"/>
      <c r="AC7"/>
      <c r="AD7"/>
      <c r="AE7"/>
    </row>
    <row r="8" spans="4:18" ht="12.75">
      <c r="D8" s="131"/>
      <c r="G8" s="228"/>
      <c r="H8" s="228"/>
      <c r="I8" s="228"/>
      <c r="J8" s="68"/>
      <c r="K8" s="278"/>
      <c r="L8" s="279"/>
      <c r="M8" s="279"/>
      <c r="N8" s="279"/>
      <c r="O8" s="221"/>
      <c r="P8" s="221"/>
      <c r="Q8" s="221"/>
      <c r="R8"/>
    </row>
    <row r="9" spans="7:31" ht="12.75">
      <c r="G9" s="204"/>
      <c r="H9" s="489" t="s">
        <v>1414</v>
      </c>
      <c r="I9" s="490"/>
      <c r="J9" s="490"/>
      <c r="K9" s="490"/>
      <c r="L9" s="490"/>
      <c r="M9" s="490"/>
      <c r="N9" s="490"/>
      <c r="O9" s="490"/>
      <c r="P9" s="490"/>
      <c r="Q9" s="490"/>
      <c r="R9" s="490"/>
      <c r="S9" s="490"/>
      <c r="T9" s="490"/>
      <c r="U9" s="490"/>
      <c r="V9" s="490"/>
      <c r="W9" s="490"/>
      <c r="X9" s="490"/>
      <c r="Y9" s="490"/>
      <c r="Z9" s="490"/>
      <c r="AA9" s="490"/>
      <c r="AB9" s="490"/>
      <c r="AC9" s="214"/>
      <c r="AD9"/>
      <c r="AE9"/>
    </row>
    <row r="10" spans="7:29" ht="3.75" customHeight="1">
      <c r="G10" s="201"/>
      <c r="H10" s="202"/>
      <c r="I10" s="202"/>
      <c r="J10" s="202"/>
      <c r="K10" s="202"/>
      <c r="L10" s="202"/>
      <c r="M10" s="202"/>
      <c r="N10" s="202"/>
      <c r="O10" s="202"/>
      <c r="P10" s="202"/>
      <c r="Q10" s="202"/>
      <c r="R10" s="202"/>
      <c r="S10" s="202"/>
      <c r="T10" s="202"/>
      <c r="U10" s="202"/>
      <c r="V10" s="202"/>
      <c r="W10" s="202"/>
      <c r="X10" s="202"/>
      <c r="Y10" s="202"/>
      <c r="Z10" s="202"/>
      <c r="AA10" s="202"/>
      <c r="AB10" s="202"/>
      <c r="AC10" s="203"/>
    </row>
    <row r="11" spans="7:31" ht="12.75">
      <c r="G11" s="201"/>
      <c r="H11" s="483" t="s">
        <v>1903</v>
      </c>
      <c r="I11" s="483"/>
      <c r="J11" s="483"/>
      <c r="K11" s="354" t="s">
        <v>1904</v>
      </c>
      <c r="L11" s="483"/>
      <c r="M11" s="484"/>
      <c r="N11" s="354" t="s">
        <v>1905</v>
      </c>
      <c r="O11" s="483"/>
      <c r="P11" s="484"/>
      <c r="Q11" s="354" t="s">
        <v>1906</v>
      </c>
      <c r="R11" s="483"/>
      <c r="S11" s="484"/>
      <c r="T11" s="354" t="s">
        <v>1907</v>
      </c>
      <c r="U11" s="483"/>
      <c r="V11" s="484"/>
      <c r="W11" s="354" t="s">
        <v>1908</v>
      </c>
      <c r="X11" s="483"/>
      <c r="Y11" s="484"/>
      <c r="Z11" s="483" t="s">
        <v>1909</v>
      </c>
      <c r="AA11" s="483"/>
      <c r="AB11" s="483"/>
      <c r="AC11" s="218"/>
      <c r="AD11"/>
      <c r="AE11"/>
    </row>
    <row r="12" spans="7:31" ht="12.75">
      <c r="G12" s="201"/>
      <c r="H12" s="281">
        <f>IF(B5="1",1,IF(B5="2",2,IF(B5="3",3,IF(B5="4",4,IF(B5="5",5,IF(B5="6",6,IF(B5="7",7,0)))))))</f>
        <v>3</v>
      </c>
      <c r="I12" s="281">
        <f>IF(C5="1",1,IF(C5="2",2,IF(C5="3",3,IF(C5="4",4,IF(C5="5",5,IF(C5="6",6,IF(C5="7",7,0)))))))</f>
        <v>0</v>
      </c>
      <c r="J12" s="281"/>
      <c r="K12" s="282">
        <f>IF(B5="2",1,IF(B5="3",2,IF(B5="4",3,IF(B5="5",4,IF(B5="6",5,IF(B5="7",6,0))))))</f>
        <v>2</v>
      </c>
      <c r="L12" s="281">
        <f>IF(C5="2",1,IF(C5="3",2,IF(C5="4",3,IF(C5="5",4,IF(C5="6",5,IF(C5="7",6,0))))))</f>
        <v>0</v>
      </c>
      <c r="M12" s="283"/>
      <c r="N12" s="282">
        <f>IF(B5="3",1,IF(B5="4",2,IF(B5="5",3,IF(B5="6",4,IF(B5="7",5,0)))))</f>
        <v>1</v>
      </c>
      <c r="O12" s="281">
        <f>IF(C5="3",1,IF(C5="4",2,IF(C5="5",3,IF(C5="6",4,IF(C5="7",5,0)))))</f>
        <v>0</v>
      </c>
      <c r="P12" s="283"/>
      <c r="Q12" s="282">
        <f>IF(B5="4",1,IF(B5="5",2,IF(B5="6",3,IF(B5="7",4,0))))</f>
        <v>0</v>
      </c>
      <c r="R12" s="281">
        <f>IF(C5="4",1,IF(C5="5",2,IF(C5="6",3,IF(C5="7",4,0))))</f>
        <v>0</v>
      </c>
      <c r="S12" s="283"/>
      <c r="T12" s="282">
        <f>IF(B5="5",1,IF(B5="6",2,IF(B5="7",3,0)))</f>
        <v>0</v>
      </c>
      <c r="U12" s="281">
        <f>IF(C5="5",1,IF(C5="6",2,IF(C5="7",3,0)))</f>
        <v>0</v>
      </c>
      <c r="V12" s="283"/>
      <c r="W12" s="282">
        <f>IF(B5="6",1,IF(B5="7",2,0))</f>
        <v>0</v>
      </c>
      <c r="X12" s="281">
        <f>IF(C5="6",1,IF(C5="7",2,0))</f>
        <v>0</v>
      </c>
      <c r="Y12" s="283"/>
      <c r="Z12" s="281">
        <f>IF(B5="7",1,0)</f>
        <v>0</v>
      </c>
      <c r="AA12" s="281">
        <f>IF(C5="7",1,0)</f>
        <v>0</v>
      </c>
      <c r="AB12" s="281"/>
      <c r="AC12" s="218"/>
      <c r="AD12"/>
      <c r="AE12"/>
    </row>
    <row r="13" spans="7:31" ht="12.75">
      <c r="G13" s="201"/>
      <c r="H13" s="486">
        <f>IF((A6-1)&lt;0," ",IF(VLOOKUP(A4,'ECKDAT priester&amp;druide'!A3:H22,2)=0," ",VLOOKUP(A4,'ECKDAT priester&amp;druide'!A3:H22,2)+H12+I12))</f>
        <v>6</v>
      </c>
      <c r="I13" s="486"/>
      <c r="J13" s="486"/>
      <c r="K13" s="485">
        <f>IF((A6-2)&lt;0," ",IF(VLOOKUP(A4,'ECKDAT priester&amp;druide'!A3:H22,3)=0," ",VLOOKUP(A4,'ECKDAT priester&amp;druide'!A3:H22,3)+K12+L12))</f>
        <v>4</v>
      </c>
      <c r="L13" s="486"/>
      <c r="M13" s="487"/>
      <c r="N13" s="485" t="str">
        <f>IF((A6-3)&lt;0," ",IF(VLOOKUP(A4,'ECKDAT priester&amp;druide'!A3:H22,4)=0," ",VLOOKUP(A4,'ECKDAT priester&amp;druide'!A3:H22,4)+N12+O12))</f>
        <v> </v>
      </c>
      <c r="O13" s="486"/>
      <c r="P13" s="487"/>
      <c r="Q13" s="485" t="str">
        <f>IF((A6-4)&lt;0," ",IF(VLOOKUP(A4,'ECKDAT priester&amp;druide'!A3:H22,5)=0," ",VLOOKUP(A4,'ECKDAT priester&amp;druide'!A3:H22,5)+Q12+R12))</f>
        <v> </v>
      </c>
      <c r="R13" s="486"/>
      <c r="S13" s="487"/>
      <c r="T13" s="485" t="str">
        <f>IF((A6-5)&lt;0," ",IF(VLOOKUP(A4,'ECKDAT priester&amp;druide'!A3:H22,6)=0," ",VLOOKUP(A4,'ECKDAT priester&amp;druide'!A3:H22,6)+T12+U12))</f>
        <v> </v>
      </c>
      <c r="U13" s="486"/>
      <c r="V13" s="487"/>
      <c r="W13" s="485" t="str">
        <f>IF((A6-6)&lt;0," ",IF(VLOOKUP(A4,'ECKDAT priester&amp;druide'!A3:H22,7)=0," ",VLOOKUP(A4,'ECKDAT priester&amp;druide'!A3:H22,7)+W12+X12))</f>
        <v> </v>
      </c>
      <c r="X13" s="486"/>
      <c r="Y13" s="487"/>
      <c r="Z13" s="486" t="str">
        <f>IF((A6-7)&lt;0," ",IF(VLOOKUP(A4,'ECKDAT priester&amp;druide'!A3:H22,8)=0," ",VLOOKUP(A4,'ECKDAT priester&amp;druide'!A3:H22,8)+Z12+AA12))</f>
        <v> </v>
      </c>
      <c r="AA13" s="486"/>
      <c r="AB13" s="486"/>
      <c r="AC13" s="229"/>
      <c r="AD13" s="80"/>
      <c r="AE13" s="80"/>
    </row>
    <row r="14" spans="7:31" ht="12.75" customHeight="1">
      <c r="G14" s="284"/>
      <c r="H14" s="285"/>
      <c r="I14" s="285"/>
      <c r="J14" s="285"/>
      <c r="K14" s="285"/>
      <c r="L14" s="285"/>
      <c r="M14" s="285"/>
      <c r="N14" s="285"/>
      <c r="O14" s="285"/>
      <c r="P14" s="285"/>
      <c r="Q14" s="285"/>
      <c r="R14" s="285"/>
      <c r="S14" s="285"/>
      <c r="T14" s="285"/>
      <c r="U14" s="285"/>
      <c r="V14" s="285"/>
      <c r="W14" s="216"/>
      <c r="X14" s="216"/>
      <c r="Y14" s="216"/>
      <c r="Z14" s="216"/>
      <c r="AA14" s="216"/>
      <c r="AB14" s="216"/>
      <c r="AC14" s="126"/>
      <c r="AD14" s="80"/>
      <c r="AE14" s="80"/>
    </row>
    <row r="15" spans="2:31" ht="12.75">
      <c r="B15" s="221"/>
      <c r="C15" s="221"/>
      <c r="D15" s="221"/>
      <c r="E15" s="221"/>
      <c r="F15" s="221"/>
      <c r="G15" s="221"/>
      <c r="H15" s="221"/>
      <c r="I15" s="186"/>
      <c r="J15" s="221"/>
      <c r="K15" s="221"/>
      <c r="L15" s="221"/>
      <c r="M15" s="221"/>
      <c r="N15" s="221"/>
      <c r="O15" s="221"/>
      <c r="P15" s="221"/>
      <c r="Q15" s="221"/>
      <c r="R15"/>
      <c r="S15"/>
      <c r="T15"/>
      <c r="U15"/>
      <c r="V15"/>
      <c r="W15"/>
      <c r="X15"/>
      <c r="Y15"/>
      <c r="Z15"/>
      <c r="AA15"/>
      <c r="AB15"/>
      <c r="AC15" s="80"/>
      <c r="AD15" s="80"/>
      <c r="AE15" s="80"/>
    </row>
    <row r="16" spans="2:31" ht="3" customHeight="1">
      <c r="B16" s="221"/>
      <c r="C16" s="221"/>
      <c r="D16" s="221"/>
      <c r="E16" s="221"/>
      <c r="F16" s="221"/>
      <c r="G16" s="289"/>
      <c r="H16" s="290"/>
      <c r="I16" s="291"/>
      <c r="J16" s="290"/>
      <c r="K16" s="290"/>
      <c r="L16" s="290"/>
      <c r="M16" s="290"/>
      <c r="N16" s="290"/>
      <c r="O16" s="290"/>
      <c r="P16" s="290"/>
      <c r="Q16" s="290"/>
      <c r="R16" s="213"/>
      <c r="S16" s="213"/>
      <c r="T16" s="213"/>
      <c r="U16" s="213"/>
      <c r="V16" s="213"/>
      <c r="W16" s="213"/>
      <c r="X16" s="213"/>
      <c r="Y16" s="213"/>
      <c r="Z16" s="213"/>
      <c r="AA16" s="213"/>
      <c r="AB16" s="213"/>
      <c r="AC16" s="87"/>
      <c r="AD16" s="80"/>
      <c r="AE16" s="80"/>
    </row>
    <row r="17" spans="2:31" ht="12.75">
      <c r="B17"/>
      <c r="G17" s="201"/>
      <c r="H17" s="154" t="s">
        <v>276</v>
      </c>
      <c r="I17" s="65"/>
      <c r="J17" s="65"/>
      <c r="K17" s="65"/>
      <c r="L17" s="65"/>
      <c r="M17" s="65"/>
      <c r="N17" s="65"/>
      <c r="O17" s="65"/>
      <c r="P17" s="65"/>
      <c r="Q17" s="65"/>
      <c r="R17" s="65"/>
      <c r="S17" s="65"/>
      <c r="T17" s="491" t="s">
        <v>1928</v>
      </c>
      <c r="U17" s="492"/>
      <c r="V17" s="492"/>
      <c r="W17" s="492"/>
      <c r="X17" s="492"/>
      <c r="Y17" s="492"/>
      <c r="Z17" s="492"/>
      <c r="AA17" s="492"/>
      <c r="AB17" s="492"/>
      <c r="AC17" s="225"/>
      <c r="AD17" s="130"/>
      <c r="AE17" s="130"/>
    </row>
    <row r="18" spans="2:31" ht="12.75">
      <c r="B18"/>
      <c r="G18" s="201"/>
      <c r="H18" s="65"/>
      <c r="I18" s="65"/>
      <c r="J18" s="65"/>
      <c r="K18" s="65"/>
      <c r="L18" s="65"/>
      <c r="M18" s="65"/>
      <c r="N18" s="65"/>
      <c r="O18" s="65"/>
      <c r="P18" s="65"/>
      <c r="Q18" s="65"/>
      <c r="R18" s="292"/>
      <c r="S18" s="292"/>
      <c r="T18" s="401" t="s">
        <v>1929</v>
      </c>
      <c r="U18" s="401"/>
      <c r="V18" s="401"/>
      <c r="W18" s="493" t="s">
        <v>1930</v>
      </c>
      <c r="X18" s="401"/>
      <c r="Y18" s="494"/>
      <c r="Z18" s="401" t="s">
        <v>1931</v>
      </c>
      <c r="AA18" s="401"/>
      <c r="AB18" s="401"/>
      <c r="AC18" s="293"/>
      <c r="AD18" s="208"/>
      <c r="AE18" s="208"/>
    </row>
    <row r="19" spans="2:31" ht="3.75" customHeight="1">
      <c r="B19"/>
      <c r="G19" s="201"/>
      <c r="H19" s="65"/>
      <c r="I19" s="65"/>
      <c r="J19" s="65"/>
      <c r="K19" s="65"/>
      <c r="L19" s="65"/>
      <c r="M19" s="65"/>
      <c r="N19" s="65"/>
      <c r="O19" s="65"/>
      <c r="P19" s="65"/>
      <c r="Q19" s="65"/>
      <c r="R19" s="65"/>
      <c r="S19" s="65"/>
      <c r="T19" s="65"/>
      <c r="U19" s="65"/>
      <c r="V19" s="65"/>
      <c r="W19" s="231"/>
      <c r="X19" s="117"/>
      <c r="Y19" s="232"/>
      <c r="Z19" s="65"/>
      <c r="AA19" s="65"/>
      <c r="AB19" s="65"/>
      <c r="AC19" s="294"/>
      <c r="AD19" s="224"/>
      <c r="AE19" s="224"/>
    </row>
    <row r="20" spans="2:31" ht="12.75">
      <c r="B20" s="210"/>
      <c r="G20" s="201"/>
      <c r="H20" s="117" t="s">
        <v>1397</v>
      </c>
      <c r="I20" s="117"/>
      <c r="J20" s="117"/>
      <c r="K20" s="117"/>
      <c r="L20" s="117"/>
      <c r="M20" s="117"/>
      <c r="N20" s="117"/>
      <c r="O20" s="117"/>
      <c r="P20" s="117"/>
      <c r="Q20" s="117"/>
      <c r="R20" s="117"/>
      <c r="S20" s="117"/>
      <c r="T20" s="495" t="s">
        <v>1932</v>
      </c>
      <c r="U20" s="495"/>
      <c r="V20" s="495"/>
      <c r="W20" s="495"/>
      <c r="X20" s="495"/>
      <c r="Y20" s="495"/>
      <c r="Z20" s="495"/>
      <c r="AA20" s="495"/>
      <c r="AB20" s="495"/>
      <c r="AC20" s="287"/>
      <c r="AD20" s="208"/>
      <c r="AE20" s="208"/>
    </row>
    <row r="21" spans="2:31" ht="6.75" customHeight="1">
      <c r="B21" s="211"/>
      <c r="C21"/>
      <c r="D21"/>
      <c r="E21" s="202"/>
      <c r="F21" s="202"/>
      <c r="G21" s="201"/>
      <c r="H21" s="65"/>
      <c r="I21" s="65"/>
      <c r="J21" s="65"/>
      <c r="K21" s="65"/>
      <c r="L21" s="65"/>
      <c r="M21" s="65"/>
      <c r="N21" s="65"/>
      <c r="O21" s="65"/>
      <c r="P21" s="65"/>
      <c r="Q21" s="65"/>
      <c r="R21" s="65"/>
      <c r="S21" s="65"/>
      <c r="T21" s="286"/>
      <c r="U21" s="286"/>
      <c r="V21" s="286"/>
      <c r="W21" s="286"/>
      <c r="X21" s="286"/>
      <c r="Y21" s="286"/>
      <c r="Z21" s="286"/>
      <c r="AA21" s="286"/>
      <c r="AB21" s="286"/>
      <c r="AC21" s="203"/>
      <c r="AD21" s="202"/>
      <c r="AE21" s="202"/>
    </row>
    <row r="22" spans="2:31" ht="12.75">
      <c r="B22" s="211"/>
      <c r="C22"/>
      <c r="D22"/>
      <c r="G22" s="201"/>
      <c r="H22" s="117" t="s">
        <v>1398</v>
      </c>
      <c r="I22" s="117"/>
      <c r="J22" s="117"/>
      <c r="K22" s="117"/>
      <c r="L22" s="117"/>
      <c r="M22" s="117"/>
      <c r="N22" s="117"/>
      <c r="O22" s="117"/>
      <c r="P22" s="117"/>
      <c r="Q22" s="117"/>
      <c r="R22" s="117"/>
      <c r="S22" s="117"/>
      <c r="T22" s="495" t="s">
        <v>1932</v>
      </c>
      <c r="U22" s="495"/>
      <c r="V22" s="495"/>
      <c r="W22" s="495"/>
      <c r="X22" s="495"/>
      <c r="Y22" s="495"/>
      <c r="Z22" s="495"/>
      <c r="AA22" s="495"/>
      <c r="AB22" s="495"/>
      <c r="AC22" s="203"/>
      <c r="AD22" s="202"/>
      <c r="AE22" s="10"/>
    </row>
    <row r="23" spans="2:31" ht="6.75" customHeight="1">
      <c r="B23" s="210"/>
      <c r="G23" s="201"/>
      <c r="H23" s="65"/>
      <c r="I23" s="65"/>
      <c r="J23" s="65"/>
      <c r="K23" s="65"/>
      <c r="L23" s="65"/>
      <c r="M23" s="65"/>
      <c r="N23" s="65"/>
      <c r="O23" s="65"/>
      <c r="P23" s="65"/>
      <c r="Q23" s="65"/>
      <c r="R23" s="65"/>
      <c r="S23" s="65"/>
      <c r="T23" s="286"/>
      <c r="U23" s="286"/>
      <c r="V23" s="286"/>
      <c r="W23" s="286"/>
      <c r="X23" s="286"/>
      <c r="Y23" s="286"/>
      <c r="Z23" s="286"/>
      <c r="AA23" s="286"/>
      <c r="AB23" s="286"/>
      <c r="AC23" s="287"/>
      <c r="AD23" s="208"/>
      <c r="AE23" s="208"/>
    </row>
    <row r="24" spans="2:31" ht="12.75">
      <c r="B24"/>
      <c r="C24"/>
      <c r="D24"/>
      <c r="G24" s="201"/>
      <c r="H24" s="117" t="s">
        <v>1406</v>
      </c>
      <c r="I24" s="117"/>
      <c r="J24" s="117"/>
      <c r="K24" s="117"/>
      <c r="L24" s="117"/>
      <c r="M24" s="117"/>
      <c r="N24" s="117"/>
      <c r="O24" s="117"/>
      <c r="P24" s="117"/>
      <c r="Q24" s="117"/>
      <c r="R24" s="117"/>
      <c r="S24" s="117"/>
      <c r="T24" s="495" t="s">
        <v>1932</v>
      </c>
      <c r="U24" s="495"/>
      <c r="V24" s="495"/>
      <c r="W24" s="495"/>
      <c r="X24" s="495"/>
      <c r="Y24" s="495"/>
      <c r="Z24" s="495"/>
      <c r="AA24" s="495"/>
      <c r="AB24" s="495"/>
      <c r="AC24" s="294"/>
      <c r="AD24" s="224"/>
      <c r="AE24" s="221"/>
    </row>
    <row r="25" spans="7:29" ht="6.75" customHeight="1">
      <c r="G25" s="201"/>
      <c r="H25" s="65"/>
      <c r="I25" s="65"/>
      <c r="J25" s="65"/>
      <c r="K25" s="65"/>
      <c r="L25" s="65"/>
      <c r="M25" s="65"/>
      <c r="N25" s="65"/>
      <c r="O25" s="65"/>
      <c r="P25" s="65"/>
      <c r="Q25" s="65"/>
      <c r="R25" s="65"/>
      <c r="S25" s="65"/>
      <c r="T25" s="286"/>
      <c r="U25" s="286"/>
      <c r="V25" s="286"/>
      <c r="W25" s="286"/>
      <c r="X25" s="286"/>
      <c r="Y25" s="286"/>
      <c r="Z25" s="286"/>
      <c r="AA25" s="286"/>
      <c r="AB25" s="286"/>
      <c r="AC25" s="203"/>
    </row>
    <row r="26" spans="7:29" ht="12.75">
      <c r="G26" s="201"/>
      <c r="H26" s="117" t="s">
        <v>1407</v>
      </c>
      <c r="I26" s="117"/>
      <c r="J26" s="117"/>
      <c r="K26" s="117"/>
      <c r="L26" s="117"/>
      <c r="M26" s="117"/>
      <c r="N26" s="117"/>
      <c r="O26" s="117"/>
      <c r="P26" s="117"/>
      <c r="Q26" s="117"/>
      <c r="R26" s="117"/>
      <c r="S26" s="117"/>
      <c r="T26" s="495" t="s">
        <v>1932</v>
      </c>
      <c r="U26" s="495"/>
      <c r="V26" s="495"/>
      <c r="W26" s="495"/>
      <c r="X26" s="495"/>
      <c r="Y26" s="495"/>
      <c r="Z26" s="495"/>
      <c r="AA26" s="495"/>
      <c r="AB26" s="495"/>
      <c r="AC26" s="203"/>
    </row>
    <row r="27" spans="7:29" ht="6.75" customHeight="1">
      <c r="G27" s="201"/>
      <c r="H27" s="65"/>
      <c r="I27" s="65"/>
      <c r="J27" s="65"/>
      <c r="K27" s="65"/>
      <c r="L27" s="65"/>
      <c r="M27" s="65"/>
      <c r="N27" s="65"/>
      <c r="O27" s="65"/>
      <c r="P27" s="65"/>
      <c r="Q27" s="65"/>
      <c r="R27" s="65"/>
      <c r="S27" s="65"/>
      <c r="T27" s="286"/>
      <c r="U27" s="286"/>
      <c r="V27" s="286"/>
      <c r="W27" s="286"/>
      <c r="X27" s="286"/>
      <c r="Y27" s="286"/>
      <c r="Z27" s="286"/>
      <c r="AA27" s="286"/>
      <c r="AB27" s="286"/>
      <c r="AC27" s="203"/>
    </row>
    <row r="28" spans="7:29" ht="12.75">
      <c r="G28" s="201"/>
      <c r="H28" s="117" t="s">
        <v>1408</v>
      </c>
      <c r="I28" s="117"/>
      <c r="J28" s="117"/>
      <c r="K28" s="117"/>
      <c r="L28" s="117"/>
      <c r="M28" s="117"/>
      <c r="N28" s="117"/>
      <c r="O28" s="117"/>
      <c r="P28" s="117"/>
      <c r="Q28" s="117"/>
      <c r="R28" s="117"/>
      <c r="S28" s="117"/>
      <c r="T28" s="495" t="s">
        <v>1932</v>
      </c>
      <c r="U28" s="495"/>
      <c r="V28" s="495"/>
      <c r="W28" s="495"/>
      <c r="X28" s="495"/>
      <c r="Y28" s="495"/>
      <c r="Z28" s="495"/>
      <c r="AA28" s="495"/>
      <c r="AB28" s="495"/>
      <c r="AC28" s="203"/>
    </row>
    <row r="29" spans="7:29" ht="6.75" customHeight="1">
      <c r="G29" s="201"/>
      <c r="H29" s="65"/>
      <c r="I29" s="65"/>
      <c r="J29" s="65"/>
      <c r="K29" s="65"/>
      <c r="L29" s="65"/>
      <c r="M29" s="65"/>
      <c r="N29" s="65"/>
      <c r="O29" s="65"/>
      <c r="P29" s="65"/>
      <c r="Q29" s="65"/>
      <c r="R29" s="65"/>
      <c r="S29" s="65"/>
      <c r="T29" s="286"/>
      <c r="U29" s="286"/>
      <c r="V29" s="286"/>
      <c r="W29" s="286"/>
      <c r="X29" s="286"/>
      <c r="Y29" s="286"/>
      <c r="Z29" s="286"/>
      <c r="AA29" s="286"/>
      <c r="AB29" s="286"/>
      <c r="AC29" s="203"/>
    </row>
    <row r="30" spans="7:29" ht="12.75">
      <c r="G30" s="201"/>
      <c r="H30" s="117" t="s">
        <v>1409</v>
      </c>
      <c r="I30" s="117"/>
      <c r="J30" s="117"/>
      <c r="K30" s="117"/>
      <c r="L30" s="117"/>
      <c r="M30" s="117"/>
      <c r="N30" s="117"/>
      <c r="O30" s="117"/>
      <c r="P30" s="117"/>
      <c r="Q30" s="117"/>
      <c r="R30" s="117"/>
      <c r="S30" s="117"/>
      <c r="T30" s="495" t="s">
        <v>1932</v>
      </c>
      <c r="U30" s="495"/>
      <c r="V30" s="495"/>
      <c r="W30" s="495"/>
      <c r="X30" s="495"/>
      <c r="Y30" s="495"/>
      <c r="Z30" s="495"/>
      <c r="AA30" s="495"/>
      <c r="AB30" s="495"/>
      <c r="AC30" s="203"/>
    </row>
    <row r="31" spans="7:29" ht="6.75" customHeight="1">
      <c r="G31" s="201"/>
      <c r="H31" s="65"/>
      <c r="I31" s="65"/>
      <c r="J31" s="65"/>
      <c r="K31" s="65"/>
      <c r="L31" s="65"/>
      <c r="M31" s="65"/>
      <c r="N31" s="65"/>
      <c r="O31" s="65"/>
      <c r="P31" s="65"/>
      <c r="Q31" s="65"/>
      <c r="R31" s="65"/>
      <c r="S31" s="65"/>
      <c r="T31" s="286"/>
      <c r="U31" s="286"/>
      <c r="V31" s="286"/>
      <c r="W31" s="286"/>
      <c r="X31" s="286"/>
      <c r="Y31" s="286"/>
      <c r="Z31" s="286"/>
      <c r="AA31" s="286"/>
      <c r="AB31" s="286"/>
      <c r="AC31" s="203"/>
    </row>
    <row r="32" spans="7:29" ht="12.75">
      <c r="G32" s="201"/>
      <c r="H32" s="117" t="s">
        <v>1410</v>
      </c>
      <c r="I32" s="117"/>
      <c r="J32" s="117"/>
      <c r="K32" s="117"/>
      <c r="L32" s="117"/>
      <c r="M32" s="117"/>
      <c r="N32" s="117"/>
      <c r="O32" s="117"/>
      <c r="P32" s="117"/>
      <c r="Q32" s="117"/>
      <c r="R32" s="117"/>
      <c r="S32" s="117"/>
      <c r="T32" s="495" t="s">
        <v>1932</v>
      </c>
      <c r="U32" s="495"/>
      <c r="V32" s="495"/>
      <c r="W32" s="495"/>
      <c r="X32" s="495"/>
      <c r="Y32" s="495"/>
      <c r="Z32" s="495"/>
      <c r="AA32" s="495"/>
      <c r="AB32" s="495"/>
      <c r="AC32" s="203"/>
    </row>
    <row r="33" spans="7:29" ht="6.75" customHeight="1">
      <c r="G33" s="201"/>
      <c r="H33" s="65"/>
      <c r="I33" s="65"/>
      <c r="J33" s="65"/>
      <c r="K33" s="65"/>
      <c r="L33" s="65"/>
      <c r="M33" s="65"/>
      <c r="N33" s="65"/>
      <c r="O33" s="65"/>
      <c r="P33" s="65"/>
      <c r="Q33" s="65"/>
      <c r="R33" s="65"/>
      <c r="S33" s="65"/>
      <c r="T33" s="286"/>
      <c r="U33" s="286"/>
      <c r="V33" s="286"/>
      <c r="W33" s="286"/>
      <c r="X33" s="286"/>
      <c r="Y33" s="286"/>
      <c r="Z33" s="286"/>
      <c r="AA33" s="286"/>
      <c r="AB33" s="286"/>
      <c r="AC33" s="203"/>
    </row>
    <row r="34" spans="7:29" ht="12.75">
      <c r="G34" s="201"/>
      <c r="H34" s="117" t="s">
        <v>1399</v>
      </c>
      <c r="I34" s="117"/>
      <c r="J34" s="117"/>
      <c r="K34" s="117"/>
      <c r="L34" s="117"/>
      <c r="M34" s="117"/>
      <c r="N34" s="117"/>
      <c r="O34" s="117"/>
      <c r="P34" s="117"/>
      <c r="Q34" s="117"/>
      <c r="R34" s="117"/>
      <c r="S34" s="117"/>
      <c r="T34" s="495" t="s">
        <v>1932</v>
      </c>
      <c r="U34" s="495"/>
      <c r="V34" s="495"/>
      <c r="W34" s="495"/>
      <c r="X34" s="495"/>
      <c r="Y34" s="495"/>
      <c r="Z34" s="495"/>
      <c r="AA34" s="495"/>
      <c r="AB34" s="495"/>
      <c r="AC34" s="203"/>
    </row>
    <row r="35" spans="7:29" ht="6.75" customHeight="1">
      <c r="G35" s="201"/>
      <c r="H35" s="65"/>
      <c r="I35" s="65"/>
      <c r="J35" s="65"/>
      <c r="K35" s="65"/>
      <c r="L35" s="65"/>
      <c r="M35" s="65"/>
      <c r="N35" s="65"/>
      <c r="O35" s="65"/>
      <c r="P35" s="65"/>
      <c r="Q35" s="65"/>
      <c r="R35" s="65"/>
      <c r="S35" s="65"/>
      <c r="T35" s="286"/>
      <c r="U35" s="286"/>
      <c r="V35" s="286"/>
      <c r="W35" s="286"/>
      <c r="X35" s="286"/>
      <c r="Y35" s="286"/>
      <c r="Z35" s="286"/>
      <c r="AA35" s="286"/>
      <c r="AB35" s="286"/>
      <c r="AC35" s="203"/>
    </row>
    <row r="36" spans="7:29" ht="12.75">
      <c r="G36" s="201"/>
      <c r="H36" s="117" t="s">
        <v>1405</v>
      </c>
      <c r="I36" s="117"/>
      <c r="J36" s="117"/>
      <c r="K36" s="117"/>
      <c r="L36" s="117"/>
      <c r="M36" s="117"/>
      <c r="N36" s="117"/>
      <c r="O36" s="117"/>
      <c r="P36" s="117"/>
      <c r="Q36" s="117"/>
      <c r="R36" s="117"/>
      <c r="S36" s="117"/>
      <c r="T36" s="495" t="s">
        <v>1932</v>
      </c>
      <c r="U36" s="495"/>
      <c r="V36" s="495"/>
      <c r="W36" s="495"/>
      <c r="X36" s="495"/>
      <c r="Y36" s="495"/>
      <c r="Z36" s="495"/>
      <c r="AA36" s="495"/>
      <c r="AB36" s="495"/>
      <c r="AC36" s="203"/>
    </row>
    <row r="37" spans="7:29" ht="6.75" customHeight="1">
      <c r="G37" s="201"/>
      <c r="H37" s="65"/>
      <c r="I37" s="65"/>
      <c r="J37" s="65"/>
      <c r="K37" s="65"/>
      <c r="L37" s="65"/>
      <c r="M37" s="65"/>
      <c r="N37" s="65"/>
      <c r="O37" s="65"/>
      <c r="P37" s="65"/>
      <c r="Q37" s="65"/>
      <c r="R37" s="65"/>
      <c r="S37" s="65"/>
      <c r="T37" s="286"/>
      <c r="U37" s="286"/>
      <c r="V37" s="286"/>
      <c r="W37" s="286"/>
      <c r="X37" s="286"/>
      <c r="Y37" s="286"/>
      <c r="Z37" s="286"/>
      <c r="AA37" s="286"/>
      <c r="AB37" s="286"/>
      <c r="AC37" s="203"/>
    </row>
    <row r="38" spans="7:29" ht="12.75">
      <c r="G38" s="201"/>
      <c r="H38" s="117" t="s">
        <v>1400</v>
      </c>
      <c r="I38" s="117"/>
      <c r="J38" s="117"/>
      <c r="K38" s="117"/>
      <c r="L38" s="117"/>
      <c r="M38" s="117"/>
      <c r="N38" s="117"/>
      <c r="O38" s="117"/>
      <c r="P38" s="117"/>
      <c r="Q38" s="117"/>
      <c r="R38" s="117"/>
      <c r="S38" s="117"/>
      <c r="T38" s="495" t="s">
        <v>1932</v>
      </c>
      <c r="U38" s="495"/>
      <c r="V38" s="495"/>
      <c r="W38" s="495"/>
      <c r="X38" s="495"/>
      <c r="Y38" s="495"/>
      <c r="Z38" s="495"/>
      <c r="AA38" s="495"/>
      <c r="AB38" s="495"/>
      <c r="AC38" s="203"/>
    </row>
    <row r="39" spans="7:29" ht="6.75" customHeight="1">
      <c r="G39" s="201"/>
      <c r="H39" s="65"/>
      <c r="I39" s="65"/>
      <c r="J39" s="65"/>
      <c r="K39" s="65"/>
      <c r="L39" s="65"/>
      <c r="M39" s="65"/>
      <c r="N39" s="65"/>
      <c r="O39" s="65"/>
      <c r="P39" s="65"/>
      <c r="Q39" s="65"/>
      <c r="R39" s="65"/>
      <c r="S39" s="65"/>
      <c r="T39" s="286"/>
      <c r="U39" s="286"/>
      <c r="V39" s="286"/>
      <c r="W39" s="286"/>
      <c r="X39" s="286"/>
      <c r="Y39" s="286"/>
      <c r="Z39" s="286"/>
      <c r="AA39" s="286"/>
      <c r="AB39" s="286"/>
      <c r="AC39" s="203"/>
    </row>
    <row r="40" spans="7:29" ht="12.75">
      <c r="G40" s="201"/>
      <c r="H40" s="117" t="s">
        <v>1401</v>
      </c>
      <c r="I40" s="117"/>
      <c r="J40" s="117"/>
      <c r="K40" s="117"/>
      <c r="L40" s="117"/>
      <c r="M40" s="117"/>
      <c r="N40" s="117"/>
      <c r="O40" s="117"/>
      <c r="P40" s="117"/>
      <c r="Q40" s="117"/>
      <c r="R40" s="117"/>
      <c r="S40" s="117"/>
      <c r="T40" s="495" t="s">
        <v>1932</v>
      </c>
      <c r="U40" s="495"/>
      <c r="V40" s="495"/>
      <c r="W40" s="495"/>
      <c r="X40" s="495"/>
      <c r="Y40" s="495"/>
      <c r="Z40" s="495"/>
      <c r="AA40" s="495"/>
      <c r="AB40" s="495"/>
      <c r="AC40" s="203"/>
    </row>
    <row r="41" spans="7:29" ht="6.75" customHeight="1">
      <c r="G41" s="201"/>
      <c r="H41" s="65"/>
      <c r="I41" s="65"/>
      <c r="J41" s="65"/>
      <c r="K41" s="65"/>
      <c r="L41" s="65"/>
      <c r="M41" s="65"/>
      <c r="N41" s="65"/>
      <c r="O41" s="65"/>
      <c r="P41" s="65"/>
      <c r="Q41" s="65"/>
      <c r="R41" s="65"/>
      <c r="S41" s="65"/>
      <c r="T41" s="286"/>
      <c r="U41" s="286"/>
      <c r="V41" s="286"/>
      <c r="W41" s="286"/>
      <c r="X41" s="286"/>
      <c r="Y41" s="286"/>
      <c r="Z41" s="286"/>
      <c r="AA41" s="286"/>
      <c r="AB41" s="286"/>
      <c r="AC41" s="203"/>
    </row>
    <row r="42" spans="7:29" ht="12.75">
      <c r="G42" s="201"/>
      <c r="H42" s="117" t="s">
        <v>1411</v>
      </c>
      <c r="I42" s="117"/>
      <c r="J42" s="117"/>
      <c r="K42" s="117"/>
      <c r="L42" s="117"/>
      <c r="M42" s="117"/>
      <c r="N42" s="117"/>
      <c r="O42" s="117"/>
      <c r="P42" s="117"/>
      <c r="Q42" s="117"/>
      <c r="R42" s="117"/>
      <c r="S42" s="117"/>
      <c r="T42" s="495" t="s">
        <v>1932</v>
      </c>
      <c r="U42" s="495"/>
      <c r="V42" s="495"/>
      <c r="W42" s="495"/>
      <c r="X42" s="495"/>
      <c r="Y42" s="495"/>
      <c r="Z42" s="495"/>
      <c r="AA42" s="495"/>
      <c r="AB42" s="495"/>
      <c r="AC42" s="203"/>
    </row>
    <row r="43" spans="7:29" ht="6.75" customHeight="1">
      <c r="G43" s="201"/>
      <c r="H43" s="65"/>
      <c r="I43" s="65"/>
      <c r="J43" s="65"/>
      <c r="K43" s="65"/>
      <c r="L43" s="65"/>
      <c r="M43" s="65"/>
      <c r="N43" s="65"/>
      <c r="O43" s="65"/>
      <c r="P43" s="65"/>
      <c r="Q43" s="65"/>
      <c r="R43" s="65"/>
      <c r="S43" s="65"/>
      <c r="T43" s="286"/>
      <c r="U43" s="286"/>
      <c r="V43" s="286"/>
      <c r="W43" s="286"/>
      <c r="X43" s="286"/>
      <c r="Y43" s="286"/>
      <c r="Z43" s="286"/>
      <c r="AA43" s="286"/>
      <c r="AB43" s="286"/>
      <c r="AC43" s="203"/>
    </row>
    <row r="44" spans="7:29" ht="12.75">
      <c r="G44" s="201"/>
      <c r="H44" s="117" t="s">
        <v>1402</v>
      </c>
      <c r="I44" s="117"/>
      <c r="J44" s="117"/>
      <c r="K44" s="117"/>
      <c r="L44" s="117"/>
      <c r="M44" s="117"/>
      <c r="N44" s="117"/>
      <c r="O44" s="117"/>
      <c r="P44" s="117"/>
      <c r="Q44" s="117"/>
      <c r="R44" s="117"/>
      <c r="S44" s="117"/>
      <c r="T44" s="495" t="s">
        <v>1932</v>
      </c>
      <c r="U44" s="495"/>
      <c r="V44" s="495"/>
      <c r="W44" s="495"/>
      <c r="X44" s="495"/>
      <c r="Y44" s="495"/>
      <c r="Z44" s="495"/>
      <c r="AA44" s="495"/>
      <c r="AB44" s="495"/>
      <c r="AC44" s="203"/>
    </row>
    <row r="45" spans="7:29" ht="6.75" customHeight="1">
      <c r="G45" s="201"/>
      <c r="H45" s="65"/>
      <c r="I45" s="65"/>
      <c r="J45" s="65"/>
      <c r="K45" s="65"/>
      <c r="L45" s="65"/>
      <c r="M45" s="65"/>
      <c r="N45" s="65"/>
      <c r="O45" s="65"/>
      <c r="P45" s="65"/>
      <c r="Q45" s="65"/>
      <c r="R45" s="65"/>
      <c r="S45" s="65"/>
      <c r="T45" s="286"/>
      <c r="U45" s="286"/>
      <c r="V45" s="286"/>
      <c r="W45" s="286"/>
      <c r="X45" s="286"/>
      <c r="Y45" s="286"/>
      <c r="Z45" s="286"/>
      <c r="AA45" s="286"/>
      <c r="AB45" s="286"/>
      <c r="AC45" s="203"/>
    </row>
    <row r="46" spans="7:29" ht="12.75">
      <c r="G46" s="201"/>
      <c r="H46" s="117" t="s">
        <v>1412</v>
      </c>
      <c r="I46" s="117"/>
      <c r="J46" s="117"/>
      <c r="K46" s="117"/>
      <c r="L46" s="117"/>
      <c r="M46" s="117"/>
      <c r="N46" s="117"/>
      <c r="O46" s="117"/>
      <c r="P46" s="117"/>
      <c r="Q46" s="117"/>
      <c r="R46" s="117"/>
      <c r="S46" s="117"/>
      <c r="T46" s="495" t="s">
        <v>1932</v>
      </c>
      <c r="U46" s="495"/>
      <c r="V46" s="495"/>
      <c r="W46" s="495"/>
      <c r="X46" s="495"/>
      <c r="Y46" s="495"/>
      <c r="Z46" s="495"/>
      <c r="AA46" s="495"/>
      <c r="AB46" s="495"/>
      <c r="AC46" s="203"/>
    </row>
    <row r="47" spans="7:29" ht="6.75" customHeight="1">
      <c r="G47" s="201"/>
      <c r="H47" s="65"/>
      <c r="I47" s="65"/>
      <c r="J47" s="65"/>
      <c r="K47" s="65"/>
      <c r="L47" s="65"/>
      <c r="M47" s="65"/>
      <c r="N47" s="65"/>
      <c r="O47" s="65"/>
      <c r="P47" s="65"/>
      <c r="Q47" s="65"/>
      <c r="R47" s="65"/>
      <c r="S47" s="65"/>
      <c r="T47" s="286"/>
      <c r="U47" s="286"/>
      <c r="V47" s="286"/>
      <c r="W47" s="286"/>
      <c r="X47" s="286"/>
      <c r="Y47" s="286"/>
      <c r="Z47" s="286"/>
      <c r="AA47" s="286"/>
      <c r="AB47" s="286"/>
      <c r="AC47" s="203"/>
    </row>
    <row r="48" spans="7:29" ht="12.75">
      <c r="G48" s="201"/>
      <c r="H48" s="117" t="s">
        <v>1403</v>
      </c>
      <c r="I48" s="117"/>
      <c r="J48" s="117"/>
      <c r="K48" s="117"/>
      <c r="L48" s="117"/>
      <c r="M48" s="117"/>
      <c r="N48" s="117"/>
      <c r="O48" s="117"/>
      <c r="P48" s="117"/>
      <c r="Q48" s="117"/>
      <c r="R48" s="117"/>
      <c r="S48" s="117"/>
      <c r="T48" s="495" t="s">
        <v>1932</v>
      </c>
      <c r="U48" s="495"/>
      <c r="V48" s="495"/>
      <c r="W48" s="495"/>
      <c r="X48" s="495"/>
      <c r="Y48" s="495"/>
      <c r="Z48" s="495"/>
      <c r="AA48" s="495"/>
      <c r="AB48" s="495"/>
      <c r="AC48" s="203"/>
    </row>
    <row r="49" spans="7:29" ht="6.75" customHeight="1">
      <c r="G49" s="201"/>
      <c r="H49" s="65"/>
      <c r="I49" s="65"/>
      <c r="J49" s="65"/>
      <c r="K49" s="65"/>
      <c r="L49" s="65"/>
      <c r="M49" s="65"/>
      <c r="N49" s="65"/>
      <c r="O49" s="65"/>
      <c r="P49" s="65"/>
      <c r="Q49" s="65"/>
      <c r="R49" s="65"/>
      <c r="S49" s="65"/>
      <c r="T49" s="286"/>
      <c r="U49" s="286"/>
      <c r="V49" s="286"/>
      <c r="W49" s="286"/>
      <c r="X49" s="286"/>
      <c r="Y49" s="286"/>
      <c r="Z49" s="286"/>
      <c r="AA49" s="286"/>
      <c r="AB49" s="286"/>
      <c r="AC49" s="203"/>
    </row>
    <row r="50" spans="7:29" ht="12.75">
      <c r="G50" s="201"/>
      <c r="H50" s="117" t="s">
        <v>1404</v>
      </c>
      <c r="I50" s="117"/>
      <c r="J50" s="117"/>
      <c r="K50" s="117"/>
      <c r="L50" s="117"/>
      <c r="M50" s="117"/>
      <c r="N50" s="117"/>
      <c r="O50" s="117"/>
      <c r="P50" s="117"/>
      <c r="Q50" s="117"/>
      <c r="R50" s="117"/>
      <c r="S50" s="117"/>
      <c r="T50" s="495" t="s">
        <v>1932</v>
      </c>
      <c r="U50" s="495"/>
      <c r="V50" s="495"/>
      <c r="W50" s="495"/>
      <c r="X50" s="495"/>
      <c r="Y50" s="495"/>
      <c r="Z50" s="495"/>
      <c r="AA50" s="495"/>
      <c r="AB50" s="495"/>
      <c r="AC50" s="203"/>
    </row>
    <row r="51" spans="7:29" ht="12.75">
      <c r="G51" s="284"/>
      <c r="H51" s="285"/>
      <c r="I51" s="285"/>
      <c r="J51" s="285"/>
      <c r="K51" s="285"/>
      <c r="L51" s="285"/>
      <c r="M51" s="285"/>
      <c r="N51" s="285"/>
      <c r="O51" s="285"/>
      <c r="P51" s="285"/>
      <c r="Q51" s="285"/>
      <c r="R51" s="285"/>
      <c r="S51" s="285"/>
      <c r="T51" s="285"/>
      <c r="U51" s="285"/>
      <c r="V51" s="285"/>
      <c r="W51" s="285"/>
      <c r="X51" s="285"/>
      <c r="Y51" s="285"/>
      <c r="Z51" s="285"/>
      <c r="AA51" s="285"/>
      <c r="AB51" s="285"/>
      <c r="AC51" s="295"/>
    </row>
  </sheetData>
  <sheetProtection password="C795" sheet="1" objects="1" scenarios="1"/>
  <mergeCells count="75">
    <mergeCell ref="T48:V48"/>
    <mergeCell ref="W48:Y48"/>
    <mergeCell ref="Z48:AB48"/>
    <mergeCell ref="T50:V50"/>
    <mergeCell ref="W50:Y50"/>
    <mergeCell ref="Z50:AB50"/>
    <mergeCell ref="T44:V44"/>
    <mergeCell ref="W44:Y44"/>
    <mergeCell ref="Z44:AB44"/>
    <mergeCell ref="T46:V46"/>
    <mergeCell ref="W46:Y46"/>
    <mergeCell ref="Z46:AB46"/>
    <mergeCell ref="T40:V40"/>
    <mergeCell ref="W40:Y40"/>
    <mergeCell ref="Z40:AB40"/>
    <mergeCell ref="T42:V42"/>
    <mergeCell ref="W42:Y42"/>
    <mergeCell ref="Z42:AB42"/>
    <mergeCell ref="T36:V36"/>
    <mergeCell ref="W36:Y36"/>
    <mergeCell ref="Z36:AB36"/>
    <mergeCell ref="T38:V38"/>
    <mergeCell ref="W38:Y38"/>
    <mergeCell ref="Z38:AB38"/>
    <mergeCell ref="T32:V32"/>
    <mergeCell ref="W32:Y32"/>
    <mergeCell ref="Z32:AB32"/>
    <mergeCell ref="T34:V34"/>
    <mergeCell ref="W34:Y34"/>
    <mergeCell ref="Z34:AB34"/>
    <mergeCell ref="T28:V28"/>
    <mergeCell ref="W28:Y28"/>
    <mergeCell ref="Z28:AB28"/>
    <mergeCell ref="T30:V30"/>
    <mergeCell ref="W30:Y30"/>
    <mergeCell ref="Z30:AB30"/>
    <mergeCell ref="T24:V24"/>
    <mergeCell ref="W24:Y24"/>
    <mergeCell ref="Z24:AB24"/>
    <mergeCell ref="T26:V26"/>
    <mergeCell ref="W26:Y26"/>
    <mergeCell ref="Z26:AB26"/>
    <mergeCell ref="T20:V20"/>
    <mergeCell ref="W20:Y20"/>
    <mergeCell ref="Z20:AB20"/>
    <mergeCell ref="T22:V22"/>
    <mergeCell ref="W22:Y22"/>
    <mergeCell ref="Z22:AB22"/>
    <mergeCell ref="T17:AB17"/>
    <mergeCell ref="T18:V18"/>
    <mergeCell ref="W18:Y18"/>
    <mergeCell ref="Z18:AB18"/>
    <mergeCell ref="B4:H4"/>
    <mergeCell ref="J4:P4"/>
    <mergeCell ref="S4:Z4"/>
    <mergeCell ref="AB4:AE4"/>
    <mergeCell ref="Z13:AB13"/>
    <mergeCell ref="Z11:AB11"/>
    <mergeCell ref="H11:J11"/>
    <mergeCell ref="AB6:AE6"/>
    <mergeCell ref="S6:AA6"/>
    <mergeCell ref="B6:I6"/>
    <mergeCell ref="H9:AB9"/>
    <mergeCell ref="Q13:S13"/>
    <mergeCell ref="H13:J13"/>
    <mergeCell ref="K13:M13"/>
    <mergeCell ref="N13:P13"/>
    <mergeCell ref="W11:Y11"/>
    <mergeCell ref="T11:V11"/>
    <mergeCell ref="W13:Y13"/>
    <mergeCell ref="T13:V13"/>
    <mergeCell ref="J6:P6"/>
    <mergeCell ref="Q11:S11"/>
    <mergeCell ref="N11:P11"/>
    <mergeCell ref="K11:M11"/>
  </mergeCells>
  <printOptions horizontalCentered="1"/>
  <pageMargins left="0.1968503937007874" right="0.1968503937007874" top="0.3937007874015748" bottom="0.1968503937007874" header="0.5118110236220472" footer="0.5118110236220472"/>
  <pageSetup horizontalDpi="300" verticalDpi="3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Tabelle7"/>
  <dimension ref="A1:AW232"/>
  <sheetViews>
    <sheetView workbookViewId="0" topLeftCell="A1">
      <selection activeCell="B15" sqref="B15:Q15"/>
    </sheetView>
  </sheetViews>
  <sheetFormatPr defaultColWidth="11.421875" defaultRowHeight="12.75"/>
  <cols>
    <col min="1" max="1" width="4.57421875" style="15" customWidth="1"/>
    <col min="2" max="39" width="2.421875" style="15" customWidth="1"/>
    <col min="40" max="40" width="3.00390625" style="15" customWidth="1"/>
    <col min="41" max="49" width="2.421875" style="15" customWidth="1"/>
    <col min="50" max="16384" width="4.140625" style="15" customWidth="1"/>
  </cols>
  <sheetData>
    <row r="1" spans="1:26" ht="12.75">
      <c r="A1" s="195" t="s">
        <v>807</v>
      </c>
      <c r="B1" s="196"/>
      <c r="C1" s="196"/>
      <c r="D1" s="196"/>
      <c r="E1" s="196"/>
      <c r="F1" s="196"/>
      <c r="G1" s="196"/>
      <c r="H1" s="196"/>
      <c r="I1" s="196"/>
      <c r="J1" s="196"/>
      <c r="K1" s="196"/>
      <c r="L1" s="196"/>
      <c r="M1" s="196"/>
      <c r="N1" s="196"/>
      <c r="O1" s="196"/>
      <c r="P1" s="196"/>
      <c r="Q1" s="196"/>
      <c r="R1" s="196"/>
      <c r="S1" s="196"/>
      <c r="T1" s="196"/>
      <c r="U1" s="195" t="s">
        <v>1054</v>
      </c>
      <c r="V1" s="196"/>
      <c r="W1" s="196"/>
      <c r="X1" s="196"/>
      <c r="Y1" s="196"/>
      <c r="Z1" s="196"/>
    </row>
    <row r="2" spans="1:40" ht="12.75">
      <c r="A2" s="175" t="s">
        <v>809</v>
      </c>
      <c r="B2" s="175"/>
      <c r="C2" s="175"/>
      <c r="D2" s="175"/>
      <c r="E2" s="175"/>
      <c r="F2" s="175"/>
      <c r="G2" s="175"/>
      <c r="H2" s="175"/>
      <c r="I2" s="175"/>
      <c r="J2" s="175"/>
      <c r="K2" s="175"/>
      <c r="L2" s="175"/>
      <c r="M2" s="175"/>
      <c r="N2" s="175"/>
      <c r="O2" s="175"/>
      <c r="P2" s="175"/>
      <c r="Q2" s="175"/>
      <c r="R2" s="175"/>
      <c r="S2" s="190" t="s">
        <v>2496</v>
      </c>
      <c r="T2" s="130"/>
      <c r="U2" s="175" t="s">
        <v>822</v>
      </c>
      <c r="V2" s="187"/>
      <c r="W2" s="187"/>
      <c r="X2" s="187"/>
      <c r="Y2" s="187"/>
      <c r="Z2" s="187"/>
      <c r="AA2" s="187"/>
      <c r="AB2" s="187"/>
      <c r="AC2" s="187"/>
      <c r="AD2" s="187"/>
      <c r="AE2" s="187"/>
      <c r="AF2" s="187"/>
      <c r="AG2" s="187"/>
      <c r="AH2" s="187"/>
      <c r="AI2" s="187"/>
      <c r="AJ2" s="187"/>
      <c r="AK2" s="187"/>
      <c r="AL2" s="187"/>
      <c r="AM2" s="117"/>
      <c r="AN2" s="197" t="s">
        <v>2493</v>
      </c>
    </row>
    <row r="3" spans="1:40" ht="12.75">
      <c r="A3" s="191" t="s">
        <v>810</v>
      </c>
      <c r="B3" s="191"/>
      <c r="C3" s="191"/>
      <c r="D3" s="191"/>
      <c r="E3" s="191"/>
      <c r="F3" s="191"/>
      <c r="G3" s="191"/>
      <c r="H3" s="191"/>
      <c r="I3" s="191"/>
      <c r="J3" s="191"/>
      <c r="K3" s="191"/>
      <c r="L3" s="191"/>
      <c r="M3" s="191"/>
      <c r="N3" s="191"/>
      <c r="O3" s="191"/>
      <c r="P3" s="191"/>
      <c r="Q3" s="191"/>
      <c r="R3" s="191"/>
      <c r="S3" s="192" t="s">
        <v>2499</v>
      </c>
      <c r="T3" s="130"/>
      <c r="U3" s="191" t="s">
        <v>823</v>
      </c>
      <c r="V3" s="188"/>
      <c r="W3" s="188"/>
      <c r="X3" s="188"/>
      <c r="Y3" s="188"/>
      <c r="Z3" s="188"/>
      <c r="AA3" s="188"/>
      <c r="AB3" s="188"/>
      <c r="AC3" s="188"/>
      <c r="AD3" s="188"/>
      <c r="AE3" s="188"/>
      <c r="AF3" s="188"/>
      <c r="AG3" s="188"/>
      <c r="AH3" s="188"/>
      <c r="AI3" s="188"/>
      <c r="AJ3" s="188"/>
      <c r="AK3" s="188"/>
      <c r="AL3" s="188"/>
      <c r="AM3" s="124"/>
      <c r="AN3" s="189" t="s">
        <v>2499</v>
      </c>
    </row>
    <row r="4" spans="1:40" ht="12.75">
      <c r="A4" s="191" t="s">
        <v>811</v>
      </c>
      <c r="B4" s="191"/>
      <c r="C4" s="191"/>
      <c r="D4" s="191"/>
      <c r="E4" s="191"/>
      <c r="F4" s="191"/>
      <c r="G4" s="191"/>
      <c r="H4" s="191"/>
      <c r="I4" s="191"/>
      <c r="J4" s="191"/>
      <c r="K4" s="191"/>
      <c r="L4" s="191"/>
      <c r="M4" s="191"/>
      <c r="N4" s="191"/>
      <c r="O4" s="191"/>
      <c r="P4" s="191"/>
      <c r="Q4" s="191"/>
      <c r="R4" s="191"/>
      <c r="S4" s="192" t="s">
        <v>2493</v>
      </c>
      <c r="T4" s="130"/>
      <c r="U4" s="191" t="s">
        <v>824</v>
      </c>
      <c r="V4" s="188"/>
      <c r="W4" s="188"/>
      <c r="X4" s="188"/>
      <c r="Y4" s="188"/>
      <c r="Z4" s="188"/>
      <c r="AA4" s="188"/>
      <c r="AB4" s="188"/>
      <c r="AC4" s="188"/>
      <c r="AD4" s="188"/>
      <c r="AE4" s="188"/>
      <c r="AF4" s="188"/>
      <c r="AG4" s="188"/>
      <c r="AH4" s="188"/>
      <c r="AI4" s="188"/>
      <c r="AJ4" s="188"/>
      <c r="AK4" s="188"/>
      <c r="AL4" s="188"/>
      <c r="AM4" s="124"/>
      <c r="AN4" s="189" t="s">
        <v>2494</v>
      </c>
    </row>
    <row r="5" spans="1:40" ht="12.75">
      <c r="A5" s="191" t="s">
        <v>812</v>
      </c>
      <c r="B5" s="191"/>
      <c r="C5" s="191"/>
      <c r="D5" s="191"/>
      <c r="E5" s="191"/>
      <c r="F5" s="191"/>
      <c r="G5" s="191"/>
      <c r="H5" s="191"/>
      <c r="I5" s="191"/>
      <c r="J5" s="191"/>
      <c r="K5" s="191"/>
      <c r="L5" s="191"/>
      <c r="M5" s="191"/>
      <c r="N5" s="191"/>
      <c r="O5" s="191"/>
      <c r="P5" s="191"/>
      <c r="Q5" s="191"/>
      <c r="R5" s="191"/>
      <c r="S5" s="192" t="s">
        <v>2491</v>
      </c>
      <c r="T5" s="130"/>
      <c r="U5" s="191" t="s">
        <v>825</v>
      </c>
      <c r="V5" s="188"/>
      <c r="W5" s="188"/>
      <c r="X5" s="188"/>
      <c r="Y5" s="188"/>
      <c r="Z5" s="188"/>
      <c r="AA5" s="188"/>
      <c r="AB5" s="188"/>
      <c r="AC5" s="188"/>
      <c r="AD5" s="188"/>
      <c r="AE5" s="188"/>
      <c r="AF5" s="188"/>
      <c r="AG5" s="188"/>
      <c r="AH5" s="188"/>
      <c r="AI5" s="188"/>
      <c r="AJ5" s="188"/>
      <c r="AK5" s="188"/>
      <c r="AL5" s="188"/>
      <c r="AM5" s="124"/>
      <c r="AN5" s="189" t="s">
        <v>2493</v>
      </c>
    </row>
    <row r="6" spans="1:40" ht="12.75">
      <c r="A6" s="191" t="s">
        <v>813</v>
      </c>
      <c r="B6" s="191"/>
      <c r="C6" s="191"/>
      <c r="D6" s="191"/>
      <c r="E6" s="191"/>
      <c r="F6" s="191"/>
      <c r="G6" s="191"/>
      <c r="H6" s="191"/>
      <c r="I6" s="191"/>
      <c r="J6" s="191"/>
      <c r="K6" s="191"/>
      <c r="L6" s="191"/>
      <c r="M6" s="191"/>
      <c r="N6" s="191"/>
      <c r="O6" s="191"/>
      <c r="P6" s="191"/>
      <c r="Q6" s="191"/>
      <c r="R6" s="191"/>
      <c r="S6" s="192" t="s">
        <v>2499</v>
      </c>
      <c r="T6" s="130"/>
      <c r="U6" s="191" t="s">
        <v>1052</v>
      </c>
      <c r="V6" s="188"/>
      <c r="W6" s="188"/>
      <c r="X6" s="188"/>
      <c r="Y6" s="188"/>
      <c r="Z6" s="188"/>
      <c r="AA6" s="188"/>
      <c r="AB6" s="188"/>
      <c r="AC6" s="188"/>
      <c r="AD6" s="188"/>
      <c r="AE6" s="188"/>
      <c r="AF6" s="188"/>
      <c r="AG6" s="188"/>
      <c r="AH6" s="188"/>
      <c r="AI6" s="188"/>
      <c r="AJ6" s="188"/>
      <c r="AK6" s="188"/>
      <c r="AL6" s="188"/>
      <c r="AM6" s="124"/>
      <c r="AN6" s="189" t="s">
        <v>2499</v>
      </c>
    </row>
    <row r="7" spans="1:40" ht="12.75">
      <c r="A7" s="191" t="s">
        <v>814</v>
      </c>
      <c r="B7" s="191"/>
      <c r="C7" s="191"/>
      <c r="D7" s="191"/>
      <c r="E7" s="191"/>
      <c r="F7" s="191"/>
      <c r="G7" s="191"/>
      <c r="H7" s="191"/>
      <c r="I7" s="191"/>
      <c r="J7" s="191"/>
      <c r="K7" s="191"/>
      <c r="L7" s="191"/>
      <c r="M7" s="191"/>
      <c r="N7" s="191"/>
      <c r="O7" s="191"/>
      <c r="P7" s="191"/>
      <c r="Q7" s="191"/>
      <c r="R7" s="191"/>
      <c r="S7" s="192" t="s">
        <v>69</v>
      </c>
      <c r="T7" s="130"/>
      <c r="U7" s="191" t="s">
        <v>827</v>
      </c>
      <c r="V7" s="188"/>
      <c r="W7" s="188"/>
      <c r="X7" s="188"/>
      <c r="Y7" s="188"/>
      <c r="Z7" s="188"/>
      <c r="AA7" s="188"/>
      <c r="AB7" s="188"/>
      <c r="AC7" s="188"/>
      <c r="AD7" s="188"/>
      <c r="AE7" s="188"/>
      <c r="AF7" s="188"/>
      <c r="AG7" s="188"/>
      <c r="AH7" s="188"/>
      <c r="AI7" s="188"/>
      <c r="AJ7" s="188"/>
      <c r="AK7" s="188"/>
      <c r="AL7" s="188"/>
      <c r="AM7" s="124"/>
      <c r="AN7" s="189" t="s">
        <v>69</v>
      </c>
    </row>
    <row r="8" spans="1:40" ht="12.75">
      <c r="A8" s="191" t="s">
        <v>815</v>
      </c>
      <c r="B8" s="191"/>
      <c r="C8" s="191"/>
      <c r="D8" s="191"/>
      <c r="E8" s="191"/>
      <c r="F8" s="191"/>
      <c r="G8" s="191"/>
      <c r="H8" s="191"/>
      <c r="I8" s="191"/>
      <c r="J8" s="191"/>
      <c r="K8" s="191"/>
      <c r="L8" s="191"/>
      <c r="M8" s="191"/>
      <c r="N8" s="191"/>
      <c r="O8" s="191"/>
      <c r="P8" s="191"/>
      <c r="Q8" s="191"/>
      <c r="R8" s="191"/>
      <c r="S8" s="192" t="s">
        <v>2497</v>
      </c>
      <c r="T8" s="130"/>
      <c r="U8" s="191" t="s">
        <v>828</v>
      </c>
      <c r="V8" s="188"/>
      <c r="W8" s="188"/>
      <c r="X8" s="188"/>
      <c r="Y8" s="188"/>
      <c r="Z8" s="188"/>
      <c r="AA8" s="188"/>
      <c r="AB8" s="188"/>
      <c r="AC8" s="188"/>
      <c r="AD8" s="188"/>
      <c r="AE8" s="188"/>
      <c r="AF8" s="188"/>
      <c r="AG8" s="188"/>
      <c r="AH8" s="188"/>
      <c r="AI8" s="188"/>
      <c r="AJ8" s="188"/>
      <c r="AK8" s="188"/>
      <c r="AL8" s="188"/>
      <c r="AM8" s="124"/>
      <c r="AN8" s="189" t="s">
        <v>77</v>
      </c>
    </row>
    <row r="9" spans="1:40" ht="12.75">
      <c r="A9" s="191" t="s">
        <v>816</v>
      </c>
      <c r="B9" s="191"/>
      <c r="C9" s="191"/>
      <c r="D9" s="191"/>
      <c r="E9" s="191"/>
      <c r="F9" s="191"/>
      <c r="G9" s="191"/>
      <c r="H9" s="191"/>
      <c r="I9" s="191"/>
      <c r="J9" s="191"/>
      <c r="K9" s="193">
        <v>1</v>
      </c>
      <c r="L9" s="191"/>
      <c r="M9" s="193"/>
      <c r="N9" s="191"/>
      <c r="O9" s="191"/>
      <c r="P9" s="191"/>
      <c r="Q9" s="191"/>
      <c r="R9" s="191"/>
      <c r="S9" s="194" t="s">
        <v>819</v>
      </c>
      <c r="T9" s="130"/>
      <c r="U9" s="191" t="s">
        <v>1053</v>
      </c>
      <c r="V9" s="188"/>
      <c r="W9" s="188"/>
      <c r="X9" s="188"/>
      <c r="Y9" s="188"/>
      <c r="Z9" s="188"/>
      <c r="AA9" s="188"/>
      <c r="AB9" s="188"/>
      <c r="AC9" s="188"/>
      <c r="AD9" s="188"/>
      <c r="AE9" s="188"/>
      <c r="AF9" s="188"/>
      <c r="AG9" s="188"/>
      <c r="AH9" s="188"/>
      <c r="AI9" s="188"/>
      <c r="AJ9" s="188"/>
      <c r="AK9" s="188"/>
      <c r="AL9" s="188"/>
      <c r="AM9" s="124"/>
      <c r="AN9" s="189" t="s">
        <v>35</v>
      </c>
    </row>
    <row r="10" spans="1:40" ht="12.75">
      <c r="A10" s="191" t="s">
        <v>817</v>
      </c>
      <c r="B10" s="191"/>
      <c r="C10" s="191"/>
      <c r="D10" s="191"/>
      <c r="E10" s="191"/>
      <c r="F10" s="191"/>
      <c r="G10" s="191"/>
      <c r="H10" s="191"/>
      <c r="I10" s="191"/>
      <c r="J10" s="191"/>
      <c r="K10" s="191"/>
      <c r="L10" s="191"/>
      <c r="M10" s="191"/>
      <c r="N10" s="191"/>
      <c r="O10" s="191"/>
      <c r="P10" s="191"/>
      <c r="Q10" s="191"/>
      <c r="R10" s="191"/>
      <c r="S10" s="192" t="s">
        <v>2496</v>
      </c>
      <c r="T10" s="130"/>
      <c r="U10" s="191" t="s">
        <v>830</v>
      </c>
      <c r="V10" s="188"/>
      <c r="W10" s="188"/>
      <c r="X10" s="188"/>
      <c r="Y10" s="188"/>
      <c r="Z10" s="188"/>
      <c r="AA10" s="188"/>
      <c r="AB10" s="188"/>
      <c r="AC10" s="188"/>
      <c r="AD10" s="188"/>
      <c r="AE10" s="188"/>
      <c r="AF10" s="188"/>
      <c r="AG10" s="188"/>
      <c r="AH10" s="188"/>
      <c r="AI10" s="188"/>
      <c r="AJ10" s="188"/>
      <c r="AK10" s="188"/>
      <c r="AL10" s="188"/>
      <c r="AM10" s="124"/>
      <c r="AN10" s="189" t="s">
        <v>2496</v>
      </c>
    </row>
    <row r="11" ht="12.75"/>
    <row r="12" ht="12.75">
      <c r="AN12" s="125">
        <f>VLOOKUP(K9,'ECKDAT allg'!K5:M8,3)</f>
        <v>-2</v>
      </c>
    </row>
    <row r="13" spans="1:40" ht="12.75">
      <c r="A13" s="522" t="s">
        <v>1712</v>
      </c>
      <c r="B13" s="522"/>
      <c r="C13" s="522"/>
      <c r="D13" s="522"/>
      <c r="E13" s="522"/>
      <c r="F13" s="522"/>
      <c r="G13" s="522"/>
      <c r="H13" s="522"/>
      <c r="I13" s="522"/>
      <c r="J13" s="522"/>
      <c r="K13" s="522"/>
      <c r="L13" s="522"/>
      <c r="M13" s="522"/>
      <c r="N13" s="522"/>
      <c r="O13" s="522"/>
      <c r="P13" s="522"/>
      <c r="Q13" s="522"/>
      <c r="R13" s="522"/>
      <c r="S13" s="522"/>
      <c r="T13" s="522"/>
      <c r="U13" s="522"/>
      <c r="V13" s="522"/>
      <c r="X13" s="297" t="s">
        <v>1941</v>
      </c>
      <c r="Y13" s="281"/>
      <c r="Z13" s="281"/>
      <c r="AA13" s="281"/>
      <c r="AB13" s="281"/>
      <c r="AC13" s="281"/>
      <c r="AD13" s="281"/>
      <c r="AE13" s="281"/>
      <c r="AF13" s="281"/>
      <c r="AG13" s="281"/>
      <c r="AH13" s="281"/>
      <c r="AI13" s="535" t="str">
        <f>VLOOKUP($A19,Waffen!$B$4:$Q$209,12)</f>
        <v>JA</v>
      </c>
      <c r="AJ13" s="535"/>
      <c r="AK13" s="536"/>
      <c r="AL13" s="536"/>
      <c r="AM13" s="536"/>
      <c r="AN13" s="536"/>
    </row>
    <row r="14" spans="1:29" ht="3" customHeight="1">
      <c r="A14" s="143"/>
      <c r="B14" s="143"/>
      <c r="C14" s="143"/>
      <c r="D14" s="143"/>
      <c r="E14" s="143"/>
      <c r="F14" s="143"/>
      <c r="G14" s="143"/>
      <c r="H14" s="143"/>
      <c r="I14" s="143"/>
      <c r="J14" s="143"/>
      <c r="K14" s="143"/>
      <c r="L14" s="143"/>
      <c r="M14" s="143"/>
      <c r="N14" s="143"/>
      <c r="O14" s="143"/>
      <c r="P14" s="143"/>
      <c r="Q14" s="143"/>
      <c r="R14" s="143"/>
      <c r="S14" s="143"/>
      <c r="T14" s="143"/>
      <c r="U14" s="143"/>
      <c r="V14" s="143"/>
      <c r="AC14" s="130"/>
    </row>
    <row r="15" spans="1:34" ht="12.75">
      <c r="A15" s="16" t="s">
        <v>1710</v>
      </c>
      <c r="B15" s="523" t="str">
        <f>VLOOKUP($A19,Waffen!$B$4:$Q$209,2)</f>
        <v>Katana</v>
      </c>
      <c r="C15" s="524"/>
      <c r="D15" s="524"/>
      <c r="E15" s="524"/>
      <c r="F15" s="524"/>
      <c r="G15" s="524"/>
      <c r="H15" s="524"/>
      <c r="I15" s="524"/>
      <c r="J15" s="524"/>
      <c r="K15" s="524"/>
      <c r="L15" s="524"/>
      <c r="M15" s="524"/>
      <c r="N15" s="524"/>
      <c r="O15" s="524"/>
      <c r="P15" s="524"/>
      <c r="Q15" s="525"/>
      <c r="S15" s="134" t="s">
        <v>1711</v>
      </c>
      <c r="Z15" s="523" t="str">
        <f>VLOOKUP($A19,Waffen!$B$4:$Q$209,5)</f>
        <v>K/S</v>
      </c>
      <c r="AA15" s="525"/>
      <c r="AC15" s="73" t="s">
        <v>889</v>
      </c>
      <c r="AG15" s="523" t="str">
        <f>VLOOKUP($A19,Waffen!$B$4:$Q$209,4)</f>
        <v>M</v>
      </c>
      <c r="AH15" s="525"/>
    </row>
    <row r="16" spans="1:34" ht="3" customHeight="1">
      <c r="A16" s="16"/>
      <c r="B16" s="64"/>
      <c r="C16" s="64"/>
      <c r="D16" s="64"/>
      <c r="E16" s="64"/>
      <c r="F16" s="64"/>
      <c r="G16" s="64"/>
      <c r="H16" s="64"/>
      <c r="I16" s="64"/>
      <c r="J16" s="64"/>
      <c r="K16" s="64"/>
      <c r="L16" s="64"/>
      <c r="M16" s="64"/>
      <c r="N16" s="64"/>
      <c r="O16" s="64"/>
      <c r="P16" s="64"/>
      <c r="Q16" s="64"/>
      <c r="S16" s="134"/>
      <c r="Z16" s="64"/>
      <c r="AA16" s="64"/>
      <c r="AC16" s="73"/>
      <c r="AG16" s="64"/>
      <c r="AH16" s="64"/>
    </row>
    <row r="17" spans="1:40" ht="12.75">
      <c r="A17" s="73" t="s">
        <v>1709</v>
      </c>
      <c r="E17" s="517" t="s">
        <v>2496</v>
      </c>
      <c r="F17" s="518"/>
      <c r="H17" s="73" t="s">
        <v>236</v>
      </c>
      <c r="O17" s="517" t="s">
        <v>2499</v>
      </c>
      <c r="P17" s="518"/>
      <c r="R17" s="73" t="s">
        <v>1707</v>
      </c>
      <c r="T17" s="523" t="s">
        <v>239</v>
      </c>
      <c r="U17" s="375"/>
      <c r="V17" s="375"/>
      <c r="W17" s="375"/>
      <c r="X17" s="375"/>
      <c r="Y17" s="375"/>
      <c r="Z17" s="375"/>
      <c r="AA17" s="375"/>
      <c r="AB17" s="375"/>
      <c r="AC17" s="375"/>
      <c r="AD17" s="375"/>
      <c r="AE17" s="375"/>
      <c r="AF17" s="375"/>
      <c r="AG17" s="375"/>
      <c r="AH17" s="375"/>
      <c r="AI17" s="375"/>
      <c r="AJ17" s="375"/>
      <c r="AK17" s="375"/>
      <c r="AL17" s="375"/>
      <c r="AM17" s="375"/>
      <c r="AN17" s="376"/>
    </row>
    <row r="18" spans="1:16" ht="1.5" customHeight="1">
      <c r="A18" s="73"/>
      <c r="H18" s="73"/>
      <c r="I18" s="125" t="b">
        <v>0</v>
      </c>
      <c r="P18" s="73"/>
    </row>
    <row r="19" spans="1:4" s="125" customFormat="1" ht="1.5" customHeight="1">
      <c r="A19" s="135">
        <v>49</v>
      </c>
      <c r="B19" s="125" t="b">
        <v>1</v>
      </c>
      <c r="C19" s="125" t="b">
        <v>1</v>
      </c>
      <c r="D19" s="125" t="b">
        <v>1</v>
      </c>
    </row>
    <row r="20" ht="14.25" customHeight="1">
      <c r="A20" s="127" t="s">
        <v>724</v>
      </c>
    </row>
    <row r="21" spans="1:39" s="21" customFormat="1" ht="15" customHeight="1">
      <c r="A21" s="81">
        <f>MIN('BOGEN "ALLE"'!$AP$22:$AR$22)-A30</f>
        <v>15</v>
      </c>
      <c r="B21" s="138" t="str">
        <f>IF(AI13="GESCHOSS"," ",IF(AI13="GESCHOSS1"," ","SCHLAG"))</f>
        <v>SCHLAG</v>
      </c>
      <c r="C21" s="139"/>
      <c r="D21" s="139"/>
      <c r="E21" s="139" t="str">
        <f>IF(AC27=" "," ","WURF")</f>
        <v> </v>
      </c>
      <c r="F21" s="139"/>
      <c r="G21" s="139"/>
      <c r="H21" s="139"/>
      <c r="I21" s="139" t="str">
        <f>IF(O17=0," ","BES.")</f>
        <v>BES.</v>
      </c>
      <c r="J21" s="168"/>
      <c r="K21" s="532" t="str">
        <f>IF(K22=" "," ","MOD SPEZ.")</f>
        <v>MOD SPEZ.</v>
      </c>
      <c r="L21" s="533"/>
      <c r="M21" s="533"/>
      <c r="N21" s="534"/>
      <c r="O21" s="532" t="str">
        <f>IF(AND(O22=" ",Q22=" ")," ","MOD.ST")</f>
        <v>MOD.ST</v>
      </c>
      <c r="P21" s="533"/>
      <c r="Q21" s="534"/>
      <c r="R21" s="532" t="str">
        <f>IF(R22=" "," ","MOD GE")</f>
        <v>MOD GE</v>
      </c>
      <c r="S21" s="533"/>
      <c r="T21" s="533"/>
      <c r="U21" s="534"/>
      <c r="V21" s="532" t="str">
        <f>IF(E17=0," ","MOD. WAFFE")</f>
        <v>MOD. WAFFE</v>
      </c>
      <c r="W21" s="533"/>
      <c r="X21" s="533"/>
      <c r="Y21" s="533"/>
      <c r="Z21" s="534"/>
      <c r="AA21" s="532" t="str">
        <f>IF(O17=0," ","MOD WAFFE SPEZIELL")</f>
        <v>MOD WAFFE SPEZIELL</v>
      </c>
      <c r="AB21" s="533"/>
      <c r="AC21" s="533"/>
      <c r="AD21" s="533"/>
      <c r="AE21" s="533"/>
      <c r="AF21" s="533"/>
      <c r="AG21" s="533"/>
      <c r="AH21" s="533"/>
      <c r="AI21" s="533"/>
      <c r="AJ21" s="533"/>
      <c r="AK21" s="533"/>
      <c r="AL21" s="533"/>
      <c r="AM21" s="534"/>
    </row>
    <row r="22" spans="2:39" s="21" customFormat="1" ht="15" customHeight="1">
      <c r="B22" s="142">
        <f>IF(AI13="GESCHOSS"," ",IF(AI13="Geschoss1"," ",IF(A19=1," ",A21-(IF(K22=" ",0,K22))-(IF(O22=" ",0,O22))-(IF(V22=" ",0,V22)))))</f>
        <v>11</v>
      </c>
      <c r="C22" s="99"/>
      <c r="D22" s="128"/>
      <c r="E22" s="136" t="str">
        <f>IF(A19=1," ",IF(AC27=" "," ",IF(AI13="GESCHOSS1",A21-(IF(K22=" ",0,K22))-(IF(R22=" ",0,R22))-(IF(V22=" ","0",V22)),A21-(IF(K22=" ",0,K22))-(IF(O22=" ",0,O22))-(IF(R22=" ",0,R22))-(IF(V22=" ","0",V22)))))</f>
        <v> </v>
      </c>
      <c r="F22" s="99"/>
      <c r="G22" s="99"/>
      <c r="H22" s="128"/>
      <c r="I22" s="141">
        <f>IF(O17=0," ",IF(AI13="Geschoss1",A21-(IF(O22=" ",0,O22))-(IF(AA22=" ",0,AA22))-(IF(AND(AC27&lt;&gt;" ",R22&lt;&gt;" "),R22,0)),A21-(IF(K22=" ",0,K22))-(IF(O22=" ",0,O22))-(IF(AA22=" ",0,AA22))-(IF(AND(AC27&lt;&gt;" ",R22&lt;&gt;" "),R22,0))))</f>
        <v>10</v>
      </c>
      <c r="J22" s="126"/>
      <c r="K22" s="515" t="str">
        <f>IF($AN$12&lt;-2," ",IF($C19=TRUE,"+1"," "))</f>
        <v>+1</v>
      </c>
      <c r="L22" s="537"/>
      <c r="M22" s="509" t="str">
        <f>IF($AN$12&lt;-2," ",IF($C19=TRUE,"+2"," "))</f>
        <v>+2</v>
      </c>
      <c r="N22" s="514"/>
      <c r="O22" s="167" t="str">
        <f>IF('BOGEN "ALLE"'!$G$26="NORMAL"," ",'BOGEN "ALLE"'!$G$26)</f>
        <v>+2</v>
      </c>
      <c r="P22" s="136"/>
      <c r="Q22" s="166" t="str">
        <f>IF('BOGEN "ALLE"'!$K$26="KEINE"," ",'BOGEN "ALLE"'!$K$26)</f>
        <v>+3</v>
      </c>
      <c r="R22" s="515" t="str">
        <f>IF('BOGEN "ALLE"'!$K$30="KEINE"," ",'BOGEN "ALLE"'!$K$30)</f>
        <v>+3</v>
      </c>
      <c r="S22" s="509"/>
      <c r="T22" s="509"/>
      <c r="U22" s="516"/>
      <c r="V22" s="515" t="str">
        <f>IF(E17=""," ",E17)</f>
        <v>+1</v>
      </c>
      <c r="W22" s="509"/>
      <c r="X22" s="509"/>
      <c r="Y22" s="509"/>
      <c r="Z22" s="516"/>
      <c r="AA22" s="526" t="str">
        <f>IF(O17=0," ",O17)</f>
        <v>+2</v>
      </c>
      <c r="AB22" s="500"/>
      <c r="AC22" s="527" t="str">
        <f>IF(O17=0," ","gg.")</f>
        <v>gg.</v>
      </c>
      <c r="AD22" s="527"/>
      <c r="AE22" s="509" t="str">
        <f>IF(T17=0," ",T17)</f>
        <v>UNTOTE</v>
      </c>
      <c r="AF22" s="529"/>
      <c r="AG22" s="529"/>
      <c r="AH22" s="529"/>
      <c r="AI22" s="529"/>
      <c r="AJ22" s="529"/>
      <c r="AK22" s="529"/>
      <c r="AL22" s="529"/>
      <c r="AM22" s="530"/>
    </row>
    <row r="23" spans="2:39" s="21" customFormat="1" ht="4.5" customHeight="1">
      <c r="B23" s="149"/>
      <c r="C23" s="86"/>
      <c r="D23" s="139"/>
      <c r="E23" s="149"/>
      <c r="F23" s="86"/>
      <c r="G23" s="86"/>
      <c r="H23" s="139"/>
      <c r="I23" s="150"/>
      <c r="J23" s="86"/>
      <c r="K23" s="511"/>
      <c r="L23" s="511"/>
      <c r="M23" s="511" t="str">
        <f>IF(M22=" ",0,M22)</f>
        <v>+2</v>
      </c>
      <c r="N23" s="511"/>
      <c r="O23" s="299"/>
      <c r="P23" s="300"/>
      <c r="Q23" s="298" t="str">
        <f>IF(Q22=" ",0,Q22)</f>
        <v>+3</v>
      </c>
      <c r="R23" s="299"/>
      <c r="S23" s="299"/>
      <c r="T23" s="299"/>
      <c r="U23" s="299"/>
      <c r="V23" s="511" t="str">
        <f>IF(V22=" ",0,V22)</f>
        <v>+1</v>
      </c>
      <c r="W23" s="511"/>
      <c r="X23" s="511"/>
      <c r="Y23" s="511"/>
      <c r="Z23" s="511"/>
      <c r="AA23" s="519" t="str">
        <f>IF(AA22=" ",0,AA22)</f>
        <v>+2</v>
      </c>
      <c r="AB23" s="519"/>
      <c r="AC23" s="301"/>
      <c r="AD23" s="151"/>
      <c r="AE23" s="152"/>
      <c r="AF23" s="153"/>
      <c r="AG23" s="153"/>
      <c r="AH23" s="153"/>
      <c r="AI23" s="153"/>
      <c r="AJ23" s="153"/>
      <c r="AK23" s="153"/>
      <c r="AL23" s="153"/>
      <c r="AM23" s="148"/>
    </row>
    <row r="24" spans="1:49" s="21" customFormat="1" ht="14.25" customHeight="1">
      <c r="A24" s="127" t="s">
        <v>235</v>
      </c>
      <c r="B24" s="131"/>
      <c r="C24" s="80"/>
      <c r="D24" s="146"/>
      <c r="E24" s="131"/>
      <c r="F24" s="80"/>
      <c r="G24" s="80"/>
      <c r="H24" s="146"/>
      <c r="I24" s="147"/>
      <c r="J24" s="80"/>
      <c r="K24" s="132"/>
      <c r="L24" s="132"/>
      <c r="M24" s="132"/>
      <c r="N24" s="132"/>
      <c r="O24" s="131"/>
      <c r="P24" s="131"/>
      <c r="Q24" s="131"/>
      <c r="R24" s="131"/>
      <c r="S24" s="131"/>
      <c r="T24" s="131"/>
      <c r="U24" s="131"/>
      <c r="V24" s="132"/>
      <c r="W24" s="132"/>
      <c r="X24" s="132"/>
      <c r="Y24" s="132"/>
      <c r="Z24" s="132"/>
      <c r="AA24" s="147"/>
      <c r="AB24" s="147"/>
      <c r="AC24" s="144"/>
      <c r="AD24" s="144"/>
      <c r="AE24" s="133"/>
      <c r="AF24" s="148"/>
      <c r="AG24" s="148"/>
      <c r="AH24" s="148"/>
      <c r="AI24" s="148"/>
      <c r="AJ24" s="148"/>
      <c r="AK24" s="148"/>
      <c r="AL24" s="148"/>
      <c r="AM24" s="148"/>
      <c r="AO24" s="146"/>
      <c r="AP24" s="146"/>
      <c r="AQ24" s="146"/>
      <c r="AR24" s="146"/>
      <c r="AS24" s="146"/>
      <c r="AT24" s="146"/>
      <c r="AU24" s="146"/>
      <c r="AV24" s="146"/>
      <c r="AW24" s="146"/>
    </row>
    <row r="25" spans="1:49" s="21" customFormat="1" ht="15" customHeight="1">
      <c r="A25" s="81">
        <f>IF(K27=" "," ",VLOOKUP($A19,Waffen!$B$4:$Q$209,6))</f>
        <v>4</v>
      </c>
      <c r="B25" s="541" t="str">
        <f>IF(K27=" "," ","INITATIVE EINHÄNDIG")</f>
        <v>INITATIVE EINHÄNDIG</v>
      </c>
      <c r="C25" s="542"/>
      <c r="D25" s="542"/>
      <c r="E25" s="542"/>
      <c r="F25" s="542"/>
      <c r="G25" s="542"/>
      <c r="H25" s="542"/>
      <c r="I25" s="542"/>
      <c r="J25" s="542"/>
      <c r="K25" s="541" t="str">
        <f>IF(K27=" "," ","SCHADEN K-M EINHÄNDIG")</f>
        <v>SCHADEN K-M EINHÄNDIG</v>
      </c>
      <c r="L25" s="537"/>
      <c r="M25" s="537"/>
      <c r="N25" s="537"/>
      <c r="O25" s="537"/>
      <c r="P25" s="537"/>
      <c r="Q25" s="537"/>
      <c r="R25" s="537"/>
      <c r="S25" s="537"/>
      <c r="T25" s="541" t="str">
        <f>IF(K27=" "," ","SCHADEN G EINHÄNDIG")</f>
        <v>SCHADEN G EINHÄNDIG</v>
      </c>
      <c r="U25" s="537"/>
      <c r="V25" s="537"/>
      <c r="W25" s="537"/>
      <c r="X25" s="537"/>
      <c r="Y25" s="537"/>
      <c r="Z25" s="537"/>
      <c r="AA25" s="537"/>
      <c r="AB25" s="537"/>
      <c r="AC25" s="543" t="str">
        <f>IF(AC27=" "," ","SCHUSSFOLGE und REICHWEITEN")</f>
        <v> </v>
      </c>
      <c r="AD25" s="544"/>
      <c r="AE25" s="545"/>
      <c r="AF25" s="545"/>
      <c r="AG25" s="545"/>
      <c r="AH25" s="545"/>
      <c r="AI25" s="545"/>
      <c r="AJ25" s="545"/>
      <c r="AK25" s="545"/>
      <c r="AL25" s="545"/>
      <c r="AM25" s="545"/>
      <c r="AO25" s="146"/>
      <c r="AP25" s="80"/>
      <c r="AQ25" s="80"/>
      <c r="AR25" s="146"/>
      <c r="AS25" s="146"/>
      <c r="AT25" s="146"/>
      <c r="AU25" s="146"/>
      <c r="AV25" s="146"/>
      <c r="AW25" s="80"/>
    </row>
    <row r="26" spans="2:49" s="21" customFormat="1" ht="15" customHeight="1">
      <c r="B26" s="138" t="str">
        <f>IF(AI13="GESCHOSS"," ",IF(AI13="GESCHOSS1"," ",IF(K27=" "," ","SCHLAG")))</f>
        <v>SCHLAG</v>
      </c>
      <c r="C26" s="139"/>
      <c r="D26" s="139"/>
      <c r="E26" s="139" t="str">
        <f>IF(AC27=" "," ",IF(K27=" "," ","WURF"))</f>
        <v> </v>
      </c>
      <c r="F26" s="139"/>
      <c r="G26" s="139"/>
      <c r="H26" s="139" t="str">
        <f>IF(O17=0," ",IF(K27=" "," ","BES."))</f>
        <v>BES.</v>
      </c>
      <c r="I26" s="86"/>
      <c r="J26" s="140"/>
      <c r="K26" s="498" t="str">
        <f>IF(K27=" "," ","BASIS")</f>
        <v>BASIS</v>
      </c>
      <c r="L26" s="345"/>
      <c r="M26" s="345"/>
      <c r="N26" s="499" t="str">
        <f>IF(K27=" "," ","NORMAL")</f>
        <v>NORMAL</v>
      </c>
      <c r="O26" s="499"/>
      <c r="P26" s="499"/>
      <c r="Q26" s="139"/>
      <c r="R26" s="499" t="str">
        <f>IF(R27=" "," ","BES.")</f>
        <v>BES.</v>
      </c>
      <c r="S26" s="346"/>
      <c r="T26" s="498" t="str">
        <f>IF(K27=" "," ","BASIS")</f>
        <v>BASIS</v>
      </c>
      <c r="U26" s="345"/>
      <c r="V26" s="345"/>
      <c r="W26" s="499" t="str">
        <f>IF(K27=" "," ","NORMAL")</f>
        <v>NORMAL</v>
      </c>
      <c r="X26" s="499"/>
      <c r="Y26" s="499"/>
      <c r="Z26" s="139"/>
      <c r="AA26" s="499" t="str">
        <f>IF(AA27=" "," ","BES.")</f>
        <v>BES.</v>
      </c>
      <c r="AB26" s="346"/>
      <c r="AC26" s="532" t="str">
        <f>IF(AC27=" "," ","SF")</f>
        <v> </v>
      </c>
      <c r="AD26" s="346"/>
      <c r="AF26" s="532" t="str">
        <f>IF(AF27=" "," ","K")</f>
        <v> </v>
      </c>
      <c r="AG26" s="346"/>
      <c r="AI26" s="532" t="str">
        <f>IF(AI27=" "," ","M")</f>
        <v> </v>
      </c>
      <c r="AJ26" s="346"/>
      <c r="AL26" s="532" t="str">
        <f>IF(AL27=" "," ","G")</f>
        <v> </v>
      </c>
      <c r="AM26" s="346"/>
      <c r="AO26" s="61"/>
      <c r="AP26" s="145"/>
      <c r="AQ26" s="80"/>
      <c r="AR26" s="146"/>
      <c r="AS26" s="146"/>
      <c r="AT26" s="146"/>
      <c r="AU26" s="146"/>
      <c r="AV26" s="146"/>
      <c r="AW26" s="146"/>
    </row>
    <row r="27" spans="2:39" s="21" customFormat="1" ht="15" customHeight="1">
      <c r="B27" s="157">
        <f>IF(AI13="GESCHOSS"," ",IF(K27=" "," ",IF((A25-(IF(V22=" ",0,V22)))&lt;=0,0,A25-(IF(V22=" ",0,V22)))))</f>
        <v>3</v>
      </c>
      <c r="C27" s="502">
        <f>IF(AI13&lt;&gt;"GESCHOSS",IF(K27=" "," ",(IF(R22=" "," ",R22-(2*R22))))," ")</f>
        <v>-3</v>
      </c>
      <c r="D27" s="538"/>
      <c r="E27" s="157" t="str">
        <f>IF(AC27=" "," ",IF(K27=" "," ",IF((A25-IF(V22=" ",0,V22))&lt;=0,0,A25-(IF(V22=" ",0,V22)))))</f>
        <v> </v>
      </c>
      <c r="F27" s="502" t="str">
        <f>IF(K27=" "," ",IF(AC27=" "," ",(IF(R22=" "," ",R22-(2*R22)))))</f>
        <v> </v>
      </c>
      <c r="G27" s="538"/>
      <c r="H27" s="156">
        <f>IF(O17=0," ",IF(K27=" "," ",IF((A25-(IF(AA22=" ",0,AA22)))&lt;=0,0,A25-(IF(AA22=" ",0,AA22)))))</f>
        <v>2</v>
      </c>
      <c r="I27" s="502">
        <f>IF(O17=0," ",IF(K27=" "," ",(IF(R22=" "," ",R22-(2*R22)))))</f>
        <v>-3</v>
      </c>
      <c r="J27" s="503"/>
      <c r="K27" s="512" t="str">
        <f>IF(VLOOKUP(A19,Waffen!$B$4:$M$177,8)=0," ",VLOOKUP($A19,Waffen!$B$4:$Q$209,8))</f>
        <v>1W10</v>
      </c>
      <c r="L27" s="513"/>
      <c r="M27" s="510"/>
      <c r="N27" s="509">
        <f>IF(K27=" "," ",IF(AI13="GESCHOSS1",0+V23,IF(AND(AI13="+1",$D19=TRUE),0+M23+Q23+V23,0+M23+Q23+V23)))</f>
        <v>6</v>
      </c>
      <c r="O27" s="509"/>
      <c r="P27" s="509"/>
      <c r="Q27" s="129"/>
      <c r="R27" s="509">
        <f>IF(AA23=0," ",IF(K27=" "," ",IF(AI13="Geschoss1",0+AA23,IF(AND(AI13="+1",$D19=TRUE),0+M23+Q23+AA23,0+M23+Q23+AA23))))</f>
        <v>7</v>
      </c>
      <c r="S27" s="516"/>
      <c r="T27" s="504" t="str">
        <f>IF(VLOOKUP(A19,Waffen!$B$4:$M$177,9)=0," ",VLOOKUP($A19,Waffen!$B$4:$Q$209,9))</f>
        <v>1W12</v>
      </c>
      <c r="U27" s="505"/>
      <c r="V27" s="351"/>
      <c r="W27" s="509">
        <f>IF(K27=" "," ",IF(AI13="GESCHOSS1",0+V23,IF(AND(AI13="+1",$D19=TRUE),0+M23+Q23+V23,0+M23+Q23+V23)))</f>
        <v>6</v>
      </c>
      <c r="X27" s="509"/>
      <c r="Y27" s="510"/>
      <c r="Z27" s="129"/>
      <c r="AA27" s="509">
        <f>IF(AA23=0," ",IF(K27=" "," ",IF(AI13="Geschoss1",0+AA23,IF(AND(AI13="+1",$D19=TRUE),0+M23+Q23+AA23,0+M23+Q23+AA23))))</f>
        <v>7</v>
      </c>
      <c r="AB27" s="516"/>
      <c r="AC27" s="528" t="str">
        <f>IF(VLOOKUP($A19,Waffen!$B$4:$Q$200,13)=0," ",VLOOKUP($A19,Waffen!$B$4:$Q$200,13))</f>
        <v> </v>
      </c>
      <c r="AD27" s="324"/>
      <c r="AF27" s="528" t="str">
        <f>IF(VLOOKUP($A19,Waffen!$B$4:$Q$200,14)=0," ",VLOOKUP($A19,Waffen!$B$4:$Q$200,14))</f>
        <v> </v>
      </c>
      <c r="AG27" s="324"/>
      <c r="AI27" s="528" t="str">
        <f>IF(VLOOKUP($A19,Waffen!$B$4:$Q$200,15)=0," ",VLOOKUP($A19,Waffen!$B$4:$Q$200,15))</f>
        <v> </v>
      </c>
      <c r="AJ27" s="324"/>
      <c r="AL27" s="528" t="str">
        <f>IF(VLOOKUP($A19,Waffen!$B$4:$Q$200,16)=0," ",VLOOKUP($A19,Waffen!$B$4:$Q$200,16))</f>
        <v> </v>
      </c>
      <c r="AM27" s="324"/>
    </row>
    <row r="28" spans="1:28" s="21" customFormat="1" ht="15" customHeight="1">
      <c r="A28" s="81">
        <f>IF(Waffenbogen!K30=" "," ",IF(AI13="GESCHOSS",VLOOKUP($A19,Waffen!$B$4:$Q$209,7),IF(AI13="GESCHOSS1",VLOOKUP($A19,Waffen!$B$4:$Q$209,7),IF(AND(AI13="JA",D19=TRUE,$AN$12=-2),VLOOKUP($A19,Waffen!$B$4:$Q$209,7)-3,VLOOKUP($A19,Waffen!$B$4:$Q$209,7)))))</f>
        <v>1</v>
      </c>
      <c r="B28" s="539" t="str">
        <f>IF(K30=" "," ","INITATIVE BEIHÄNDIG")</f>
        <v>INITATIVE BEIHÄNDIG</v>
      </c>
      <c r="C28" s="540"/>
      <c r="D28" s="540"/>
      <c r="E28" s="540"/>
      <c r="F28" s="540"/>
      <c r="G28" s="540"/>
      <c r="H28" s="540"/>
      <c r="I28" s="540"/>
      <c r="J28" s="540"/>
      <c r="K28" s="539" t="str">
        <f>IF(K30=" "," ","SCHADEN K-M BEIDHÄNDIG")</f>
        <v>SCHADEN K-M BEIDHÄNDIG</v>
      </c>
      <c r="L28" s="357"/>
      <c r="M28" s="357"/>
      <c r="N28" s="357"/>
      <c r="O28" s="357"/>
      <c r="P28" s="357"/>
      <c r="Q28" s="357"/>
      <c r="R28" s="357"/>
      <c r="S28" s="357"/>
      <c r="T28" s="539" t="str">
        <f>IF(T30=" "," ","SCHADEN G BEIDHÄNDIG")</f>
        <v>SCHADEN G BEIDHÄNDIG</v>
      </c>
      <c r="U28" s="357"/>
      <c r="V28" s="357"/>
      <c r="W28" s="357"/>
      <c r="X28" s="357"/>
      <c r="Y28" s="357"/>
      <c r="Z28" s="357"/>
      <c r="AA28" s="357"/>
      <c r="AB28" s="357"/>
    </row>
    <row r="29" spans="2:28" s="21" customFormat="1" ht="14.25" customHeight="1">
      <c r="B29" s="138" t="str">
        <f>IF(K30=" "," ",IF(AI13="GESCHOSS"," ",IF(AI13="GESCHOSS1"," ","SCHLAG")))</f>
        <v>SCHLAG</v>
      </c>
      <c r="C29" s="139"/>
      <c r="D29" s="139"/>
      <c r="E29" s="139" t="str">
        <f>IF(K30=" "," ",IF(AC27=" "," ","WURF"))</f>
        <v> </v>
      </c>
      <c r="F29" s="139"/>
      <c r="G29" s="139"/>
      <c r="H29" s="139" t="str">
        <f>IF(K30=" "," ",IF(O17=0," ","BES."))</f>
        <v>BES.</v>
      </c>
      <c r="J29" s="87"/>
      <c r="K29" s="498" t="str">
        <f>IF(K30=" "," ","BASIS")</f>
        <v>BASIS</v>
      </c>
      <c r="L29" s="345"/>
      <c r="M29" s="345"/>
      <c r="N29" s="499" t="str">
        <f>IF(K30=" "," ","NORMAL")</f>
        <v>NORMAL</v>
      </c>
      <c r="O29" s="499"/>
      <c r="P29" s="499"/>
      <c r="Q29" s="139"/>
      <c r="R29" s="499" t="str">
        <f>IF(R30=" "," ","BES.")</f>
        <v>BES.</v>
      </c>
      <c r="S29" s="346"/>
      <c r="T29" s="498" t="str">
        <f>IF(K30=" "," ","BASIS")</f>
        <v>BASIS</v>
      </c>
      <c r="U29" s="345"/>
      <c r="V29" s="345"/>
      <c r="W29" s="499" t="str">
        <f>IF(K30=" "," ","NORMAL")</f>
        <v>NORMAL</v>
      </c>
      <c r="X29" s="499"/>
      <c r="Y29" s="499"/>
      <c r="Z29" s="139"/>
      <c r="AA29" s="499" t="str">
        <f>IF(AA30=" "," ","BES.")</f>
        <v>BES.</v>
      </c>
      <c r="AB29" s="346"/>
    </row>
    <row r="30" spans="1:39" s="130" customFormat="1" ht="12.75">
      <c r="A30" s="155">
        <f>IF($B19=TRUE,0,$AN$12)</f>
        <v>0</v>
      </c>
      <c r="B30" s="157">
        <f>IF(B29=" "," ",IF((A28-(IF(V22=" ",0,(IF(V22=" ",0,V22)))))&lt;=0,0,A28-(IF(V22=" ",0,V22))))</f>
        <v>0</v>
      </c>
      <c r="C30" s="502">
        <f>IF(AI13="GESCHOSS"," ",IF(AI13="GESCHOSS1"," ",IF(K30=" "," ",(IF(R22=" "," ",R22-(2*R22))))))</f>
        <v>-3</v>
      </c>
      <c r="D30" s="503"/>
      <c r="E30" s="157" t="str">
        <f>IF(AND(K30&lt;&gt;" ",AC27&lt;&gt;" "),IF((A28-(IF(V22=" ",0,V22)))&lt;=0,0,A28-(IF(V22=" ",0,V22)))," ")</f>
        <v> </v>
      </c>
      <c r="F30" s="502" t="str">
        <f>IF(K30=" "," ",IF(AC27=" "," ",(IF(R22=" "," ",R22-(2*R22)))))</f>
        <v> </v>
      </c>
      <c r="G30" s="503"/>
      <c r="H30" s="157">
        <f>IF(O17=0," ",IF(K30=" "," ",IF((A28-(IF(V22=" ",0,V22)))&lt;=0,0,A28-(IF(V22=" ",0,V22)))))</f>
        <v>0</v>
      </c>
      <c r="I30" s="506">
        <f>IF(K30=" "," ",IF(AND(O17=0,R22=" ")," ",(IF(R22=" "," ",R22-(2*R22)))))</f>
        <v>-3</v>
      </c>
      <c r="J30" s="507"/>
      <c r="K30" s="504" t="str">
        <f>IF(IF(VLOOKUP(A19,Waffen!$B$4:$M$177,10)=0,0,VLOOKUP($A19,Waffen!$B$4:$Q$209,10))=0," ",VLOOKUP($A19,Waffen!$B$4:$Q$209,10))</f>
        <v>2W6</v>
      </c>
      <c r="L30" s="505"/>
      <c r="M30" s="351"/>
      <c r="N30" s="500">
        <f>IF(K30=" "," ",IF(AI13="GESCHOSS1",0+V23,IF(AND(AI13="+1",$D19=TRUE,$K$9="-2"),0+M23+Q23+V23+1,0+M23+Q23+V23)))</f>
        <v>6</v>
      </c>
      <c r="O30" s="500"/>
      <c r="P30" s="501"/>
      <c r="Q30" s="129"/>
      <c r="R30" s="500">
        <f>IF(AA23=0," ",IF(K30=" "," ",IF(AI13="GESCHOSS1",0+AA23,IF(AND(AI13="+1",$D19=TRUE,$K$9="-2"),0+M23+Q23+AA23+1,0+M23+Q23+AA23))))</f>
        <v>7</v>
      </c>
      <c r="S30" s="508"/>
      <c r="T30" s="504" t="str">
        <f>IF(IF(AI13="NEIN",0,VLOOKUP($A19,Waffen!$B$4:$Q$209,11))=0," ",VLOOKUP($A19,Waffen!$B$4:$Q$209,11))</f>
        <v>2W6</v>
      </c>
      <c r="U30" s="505"/>
      <c r="V30" s="351"/>
      <c r="W30" s="500">
        <f>IF(K30=" "," ",IF(AI13="GESCHOSS1",0+V23,IF(AND(AI13="+1",$D19=TRUE,$K$9="-2"),0+M23+Q23+V23+1,0+M23+Q23+V23)))</f>
        <v>6</v>
      </c>
      <c r="X30" s="500"/>
      <c r="Y30" s="501"/>
      <c r="Z30" s="129"/>
      <c r="AA30" s="500">
        <f>IF(AA23=0," ",IF(K30=" "," ",IF(AI13="GESCHOSS1",0+AA23,IF(AND(AI13="+1",$D19=TRUE,$K$9="-2"),0+M23+Q23+AA23+1,0+M23+Q23+AA23))))</f>
        <v>7</v>
      </c>
      <c r="AB30" s="508"/>
      <c r="AK30" s="79"/>
      <c r="AL30" s="79"/>
      <c r="AM30" s="79"/>
    </row>
    <row r="31" s="130" customFormat="1" ht="10.5"/>
    <row r="32" spans="1:39" ht="14.25" customHeight="1">
      <c r="A32" s="65"/>
      <c r="B32" s="154"/>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row>
    <row r="33" spans="1:40" ht="12.75">
      <c r="A33" s="522" t="s">
        <v>1806</v>
      </c>
      <c r="B33" s="522"/>
      <c r="C33" s="522"/>
      <c r="D33" s="522"/>
      <c r="E33" s="522"/>
      <c r="F33" s="522"/>
      <c r="G33" s="522"/>
      <c r="H33" s="522"/>
      <c r="I33" s="522"/>
      <c r="J33" s="522"/>
      <c r="K33" s="522"/>
      <c r="L33" s="522"/>
      <c r="M33" s="522"/>
      <c r="N33" s="522"/>
      <c r="O33" s="522"/>
      <c r="P33" s="522"/>
      <c r="Q33" s="522"/>
      <c r="R33" s="522"/>
      <c r="S33" s="522"/>
      <c r="T33" s="522"/>
      <c r="U33" s="522"/>
      <c r="V33" s="522"/>
      <c r="AC33" s="297" t="s">
        <v>1708</v>
      </c>
      <c r="AD33" s="281"/>
      <c r="AE33" s="281"/>
      <c r="AF33" s="281"/>
      <c r="AG33" s="281"/>
      <c r="AH33" s="281"/>
      <c r="AI33" s="535" t="str">
        <f>VLOOKUP($A39,Waffen!$B$4:$Q$209,12)</f>
        <v>NEIN</v>
      </c>
      <c r="AJ33" s="535"/>
      <c r="AK33" s="536"/>
      <c r="AL33" s="536"/>
      <c r="AM33" s="536"/>
      <c r="AN33" s="536"/>
    </row>
    <row r="34" spans="1:29" ht="3" customHeight="1">
      <c r="A34" s="143"/>
      <c r="B34" s="143"/>
      <c r="C34" s="143"/>
      <c r="D34" s="143"/>
      <c r="E34" s="143"/>
      <c r="F34" s="143"/>
      <c r="G34" s="143"/>
      <c r="H34" s="143"/>
      <c r="I34" s="143"/>
      <c r="J34" s="143"/>
      <c r="K34" s="143"/>
      <c r="L34" s="143"/>
      <c r="M34" s="143"/>
      <c r="N34" s="143"/>
      <c r="O34" s="143"/>
      <c r="P34" s="143"/>
      <c r="Q34" s="143"/>
      <c r="R34" s="143"/>
      <c r="S34" s="143"/>
      <c r="T34" s="143"/>
      <c r="U34" s="143"/>
      <c r="V34" s="143"/>
      <c r="AC34" s="130"/>
    </row>
    <row r="35" spans="1:34" ht="12.75">
      <c r="A35" s="16" t="s">
        <v>1710</v>
      </c>
      <c r="B35" s="523" t="str">
        <f>VLOOKUP($A39,Waffen!$B$4:$Q$209,2)</f>
        <v>Dolch</v>
      </c>
      <c r="C35" s="524"/>
      <c r="D35" s="524"/>
      <c r="E35" s="524"/>
      <c r="F35" s="524"/>
      <c r="G35" s="524"/>
      <c r="H35" s="524"/>
      <c r="I35" s="524"/>
      <c r="J35" s="524"/>
      <c r="K35" s="524"/>
      <c r="L35" s="524"/>
      <c r="M35" s="524"/>
      <c r="N35" s="524"/>
      <c r="O35" s="524"/>
      <c r="P35" s="524"/>
      <c r="Q35" s="525"/>
      <c r="S35" s="134" t="s">
        <v>1711</v>
      </c>
      <c r="Z35" s="523" t="str">
        <f>VLOOKUP($A39,Waffen!$B$4:$Q$209,5)</f>
        <v>S</v>
      </c>
      <c r="AA35" s="525"/>
      <c r="AC35" s="73" t="s">
        <v>889</v>
      </c>
      <c r="AG35" s="523" t="str">
        <f>VLOOKUP($A39,Waffen!$B$4:$Q$209,4)</f>
        <v>K</v>
      </c>
      <c r="AH35" s="525"/>
    </row>
    <row r="36" spans="1:34" ht="3" customHeight="1">
      <c r="A36" s="16"/>
      <c r="B36" s="64"/>
      <c r="C36" s="64"/>
      <c r="D36" s="64"/>
      <c r="E36" s="64"/>
      <c r="F36" s="64"/>
      <c r="G36" s="64"/>
      <c r="H36" s="64"/>
      <c r="I36" s="64"/>
      <c r="J36" s="64"/>
      <c r="K36" s="64"/>
      <c r="L36" s="64"/>
      <c r="M36" s="64"/>
      <c r="N36" s="64"/>
      <c r="O36" s="64"/>
      <c r="P36" s="64"/>
      <c r="Q36" s="64"/>
      <c r="S36" s="134"/>
      <c r="Z36" s="64"/>
      <c r="AA36" s="64"/>
      <c r="AC36" s="73"/>
      <c r="AG36" s="64"/>
      <c r="AH36" s="64"/>
    </row>
    <row r="37" spans="1:40" ht="12.75">
      <c r="A37" s="73" t="s">
        <v>1709</v>
      </c>
      <c r="E37" s="517" t="s">
        <v>2499</v>
      </c>
      <c r="F37" s="518"/>
      <c r="H37" s="73" t="s">
        <v>236</v>
      </c>
      <c r="O37" s="517"/>
      <c r="P37" s="518"/>
      <c r="R37" s="73" t="s">
        <v>1707</v>
      </c>
      <c r="T37" s="523"/>
      <c r="U37" s="375"/>
      <c r="V37" s="375"/>
      <c r="W37" s="375"/>
      <c r="X37" s="375"/>
      <c r="Y37" s="375"/>
      <c r="Z37" s="375"/>
      <c r="AA37" s="375"/>
      <c r="AB37" s="375"/>
      <c r="AC37" s="375"/>
      <c r="AD37" s="375"/>
      <c r="AE37" s="375"/>
      <c r="AF37" s="375"/>
      <c r="AG37" s="375"/>
      <c r="AH37" s="375"/>
      <c r="AI37" s="375"/>
      <c r="AJ37" s="375"/>
      <c r="AK37" s="375"/>
      <c r="AL37" s="375"/>
      <c r="AM37" s="375"/>
      <c r="AN37" s="376"/>
    </row>
    <row r="38" spans="1:16" ht="1.5" customHeight="1">
      <c r="A38" s="73"/>
      <c r="H38" s="73"/>
      <c r="I38" s="125" t="b">
        <v>0</v>
      </c>
      <c r="P38" s="73"/>
    </row>
    <row r="39" spans="1:4" s="125" customFormat="1" ht="1.5" customHeight="1">
      <c r="A39" s="135">
        <v>21</v>
      </c>
      <c r="B39" s="125" t="b">
        <v>1</v>
      </c>
      <c r="C39" s="125" t="b">
        <v>0</v>
      </c>
      <c r="D39" s="125" t="b">
        <v>1</v>
      </c>
    </row>
    <row r="40" ht="14.25" customHeight="1">
      <c r="A40" s="127" t="s">
        <v>724</v>
      </c>
    </row>
    <row r="41" spans="1:39" s="21" customFormat="1" ht="15" customHeight="1">
      <c r="A41" s="81">
        <f>MIN('BOGEN "ALLE"'!$AP$22:$AR$22)-A50</f>
        <v>15</v>
      </c>
      <c r="B41" s="138" t="str">
        <f>IF(AI33="GESCHOSS"," ",IF(AI33="GESCHOSS1"," ","SCHLAG"))</f>
        <v>SCHLAG</v>
      </c>
      <c r="C41" s="139"/>
      <c r="D41" s="139"/>
      <c r="E41" s="139" t="str">
        <f>IF(AC47=" "," ","WURF")</f>
        <v>WURF</v>
      </c>
      <c r="F41" s="139"/>
      <c r="G41" s="139"/>
      <c r="H41" s="139"/>
      <c r="I41" s="139" t="str">
        <f>IF(O37=0," ","BES.")</f>
        <v> </v>
      </c>
      <c r="J41" s="168"/>
      <c r="K41" s="532" t="str">
        <f>IF(K42=" "," ","MOD SPEZ.")</f>
        <v> </v>
      </c>
      <c r="L41" s="533"/>
      <c r="M41" s="533"/>
      <c r="N41" s="534"/>
      <c r="O41" s="532" t="str">
        <f>IF(AND(O42=" ",Q42=" ")," ","MOD.ST")</f>
        <v>MOD.ST</v>
      </c>
      <c r="P41" s="533"/>
      <c r="Q41" s="534"/>
      <c r="R41" s="532" t="str">
        <f>IF(R42=" "," ","MOD GE")</f>
        <v>MOD GE</v>
      </c>
      <c r="S41" s="533"/>
      <c r="T41" s="533"/>
      <c r="U41" s="534"/>
      <c r="V41" s="532" t="str">
        <f>IF(E37=0," ","MOD. WAFFE")</f>
        <v>MOD. WAFFE</v>
      </c>
      <c r="W41" s="533"/>
      <c r="X41" s="533"/>
      <c r="Y41" s="533"/>
      <c r="Z41" s="534"/>
      <c r="AA41" s="532" t="str">
        <f>IF(O37=0," ","MOD WAFFE SPEZIELL")</f>
        <v> </v>
      </c>
      <c r="AB41" s="533"/>
      <c r="AC41" s="533"/>
      <c r="AD41" s="533"/>
      <c r="AE41" s="533"/>
      <c r="AF41" s="533"/>
      <c r="AG41" s="533"/>
      <c r="AH41" s="533"/>
      <c r="AI41" s="533"/>
      <c r="AJ41" s="533"/>
      <c r="AK41" s="533"/>
      <c r="AL41" s="533"/>
      <c r="AM41" s="534"/>
    </row>
    <row r="42" spans="2:39" s="21" customFormat="1" ht="15" customHeight="1">
      <c r="B42" s="142">
        <f>IF(AI33="GESCHOSS"," ",IF(AI33="Geschoss1"," ",IF(A39=1," ",A41-(IF(K42=" ",0,K42))-(IF(O42=" ",0,O42))-(IF(V42=" ",0,V42)))))</f>
        <v>11</v>
      </c>
      <c r="C42" s="99"/>
      <c r="D42" s="128"/>
      <c r="E42" s="136">
        <f>IF(A39=1," ",IF(AC47=" "," ",IF(AI33="GESCHOSS1",A41-(IF(K42=" ",0,K42))-(IF(R42=" ",0,R42))-(IF(V42=" ","0",V42)),A41-(IF(K42=" ",0,K42))-(IF(O42=" ",0,O42))-(IF(R42=" ",0,R42))-(IF(V42=" ","0",V42)))))</f>
        <v>8</v>
      </c>
      <c r="F42" s="99"/>
      <c r="G42" s="99"/>
      <c r="H42" s="128"/>
      <c r="I42" s="141" t="str">
        <f>IF(O37=0," ",IF(AI33="Geschoss1",A41-(IF(O42=" ",0,O42))-(IF(AA42=" ",0,AA42))-(IF(AND(AC47&lt;&gt;" ",R42&lt;&gt;" "),R42,0)),A41-(IF(K42=" ",0,K42))-(IF(O42=" ",0,O42))-(IF(AA42=" ",0,AA42))-(IF(AND(AC47&lt;&gt;" ",R42&lt;&gt;" "),R42,0))))</f>
        <v> </v>
      </c>
      <c r="J42" s="126"/>
      <c r="K42" s="515" t="str">
        <f>IF($AN$12&lt;-2," ",IF($C39=TRUE,"+1"," "))</f>
        <v> </v>
      </c>
      <c r="L42" s="537"/>
      <c r="M42" s="509" t="str">
        <f>IF($AN$12&lt;-2," ",IF($C39=TRUE,"+2"," "))</f>
        <v> </v>
      </c>
      <c r="N42" s="514"/>
      <c r="O42" s="167" t="str">
        <f>IF('BOGEN "ALLE"'!$G$26="NORMAL"," ",'BOGEN "ALLE"'!$G$26)</f>
        <v>+2</v>
      </c>
      <c r="P42" s="136"/>
      <c r="Q42" s="166" t="str">
        <f>IF('BOGEN "ALLE"'!$K$26="KEINE"," ",'BOGEN "ALLE"'!$K$26)</f>
        <v>+3</v>
      </c>
      <c r="R42" s="515" t="str">
        <f>IF('BOGEN "ALLE"'!$K$30="KEINE"," ",'BOGEN "ALLE"'!$K$30)</f>
        <v>+3</v>
      </c>
      <c r="S42" s="509"/>
      <c r="T42" s="509"/>
      <c r="U42" s="516"/>
      <c r="V42" s="515" t="str">
        <f>IF(E37=""," ",E37)</f>
        <v>+2</v>
      </c>
      <c r="W42" s="509"/>
      <c r="X42" s="509"/>
      <c r="Y42" s="509"/>
      <c r="Z42" s="516"/>
      <c r="AA42" s="526" t="str">
        <f>IF(O37=0," ",O37)</f>
        <v> </v>
      </c>
      <c r="AB42" s="500"/>
      <c r="AC42" s="527" t="str">
        <f>IF(O37=0," ","gg.")</f>
        <v> </v>
      </c>
      <c r="AD42" s="527"/>
      <c r="AE42" s="509" t="str">
        <f>IF(T37=0," ",T37)</f>
        <v> </v>
      </c>
      <c r="AF42" s="529"/>
      <c r="AG42" s="529"/>
      <c r="AH42" s="529"/>
      <c r="AI42" s="529"/>
      <c r="AJ42" s="529"/>
      <c r="AK42" s="529"/>
      <c r="AL42" s="529"/>
      <c r="AM42" s="530"/>
    </row>
    <row r="43" spans="2:39" s="21" customFormat="1" ht="4.5" customHeight="1">
      <c r="B43" s="149"/>
      <c r="C43" s="86"/>
      <c r="D43" s="139"/>
      <c r="E43" s="149"/>
      <c r="F43" s="86"/>
      <c r="G43" s="86"/>
      <c r="H43" s="139"/>
      <c r="I43" s="150"/>
      <c r="J43" s="86"/>
      <c r="K43" s="511"/>
      <c r="L43" s="511"/>
      <c r="M43" s="511">
        <f>IF(M42=" ",0,M42)</f>
        <v>0</v>
      </c>
      <c r="N43" s="511"/>
      <c r="O43" s="299"/>
      <c r="P43" s="300"/>
      <c r="Q43" s="298" t="str">
        <f>IF(Q42=" ",0,Q42)</f>
        <v>+3</v>
      </c>
      <c r="R43" s="299"/>
      <c r="S43" s="299"/>
      <c r="T43" s="299"/>
      <c r="U43" s="299"/>
      <c r="V43" s="511" t="str">
        <f>IF(V42=" ",0,V42)</f>
        <v>+2</v>
      </c>
      <c r="W43" s="511"/>
      <c r="X43" s="511"/>
      <c r="Y43" s="511"/>
      <c r="Z43" s="511"/>
      <c r="AA43" s="519">
        <f>IF(AA42=" ",0,AA42)</f>
        <v>0</v>
      </c>
      <c r="AB43" s="519"/>
      <c r="AC43" s="301"/>
      <c r="AD43" s="151"/>
      <c r="AE43" s="152"/>
      <c r="AF43" s="153"/>
      <c r="AG43" s="153"/>
      <c r="AH43" s="153"/>
      <c r="AI43" s="153"/>
      <c r="AJ43" s="153"/>
      <c r="AK43" s="153"/>
      <c r="AL43" s="153"/>
      <c r="AM43" s="148"/>
    </row>
    <row r="44" spans="1:49" s="21" customFormat="1" ht="14.25" customHeight="1">
      <c r="A44" s="127" t="s">
        <v>235</v>
      </c>
      <c r="B44" s="131"/>
      <c r="C44" s="80"/>
      <c r="D44" s="146"/>
      <c r="E44" s="131"/>
      <c r="F44" s="80"/>
      <c r="G44" s="80"/>
      <c r="H44" s="146"/>
      <c r="I44" s="147"/>
      <c r="J44" s="80"/>
      <c r="K44" s="132"/>
      <c r="L44" s="132"/>
      <c r="M44" s="132"/>
      <c r="N44" s="132"/>
      <c r="O44" s="131"/>
      <c r="P44" s="131"/>
      <c r="Q44" s="131"/>
      <c r="R44" s="131"/>
      <c r="S44" s="131"/>
      <c r="T44" s="131"/>
      <c r="U44" s="131"/>
      <c r="V44" s="132"/>
      <c r="W44" s="132"/>
      <c r="X44" s="132"/>
      <c r="Y44" s="132"/>
      <c r="Z44" s="132"/>
      <c r="AA44" s="147"/>
      <c r="AB44" s="147"/>
      <c r="AC44" s="144"/>
      <c r="AD44" s="144"/>
      <c r="AE44" s="133"/>
      <c r="AF44" s="148"/>
      <c r="AG44" s="148"/>
      <c r="AH44" s="148"/>
      <c r="AI44" s="148"/>
      <c r="AJ44" s="148"/>
      <c r="AK44" s="148"/>
      <c r="AL44" s="148"/>
      <c r="AM44" s="148"/>
      <c r="AO44" s="146"/>
      <c r="AP44" s="146"/>
      <c r="AQ44" s="146"/>
      <c r="AR44" s="146"/>
      <c r="AS44" s="146"/>
      <c r="AT44" s="146"/>
      <c r="AU44" s="146"/>
      <c r="AV44" s="146"/>
      <c r="AW44" s="146"/>
    </row>
    <row r="45" spans="1:49" s="21" customFormat="1" ht="15" customHeight="1">
      <c r="A45" s="81">
        <f>IF(K47=" "," ",VLOOKUP($A39,Waffen!$B$4:$Q$209,6))</f>
        <v>1</v>
      </c>
      <c r="B45" s="496" t="str">
        <f>IF(K47=" "," ","INITATIVE EINHÄNDIG")</f>
        <v>INITATIVE EINHÄNDIG</v>
      </c>
      <c r="C45" s="497"/>
      <c r="D45" s="497"/>
      <c r="E45" s="497"/>
      <c r="F45" s="497"/>
      <c r="G45" s="497"/>
      <c r="H45" s="497"/>
      <c r="I45" s="497"/>
      <c r="J45" s="497"/>
      <c r="K45" s="170" t="str">
        <f>IF(K47=" "," ","SCHADEN K-M EINHÄNDIG")</f>
        <v>SCHADEN K-M EINHÄNDIG</v>
      </c>
      <c r="L45" s="136"/>
      <c r="M45" s="136"/>
      <c r="N45" s="136"/>
      <c r="O45" s="136"/>
      <c r="P45" s="136"/>
      <c r="Q45" s="136"/>
      <c r="R45" s="136"/>
      <c r="S45" s="136"/>
      <c r="T45" s="170" t="str">
        <f>IF(K47=" "," ","SCHADEN G EINHÄNDIG")</f>
        <v>SCHADEN G EINHÄNDIG</v>
      </c>
      <c r="U45" s="137"/>
      <c r="V45" s="137"/>
      <c r="W45" s="137"/>
      <c r="X45" s="137"/>
      <c r="Y45" s="137"/>
      <c r="Z45" s="137"/>
      <c r="AA45" s="136"/>
      <c r="AB45" s="136"/>
      <c r="AC45" s="158" t="str">
        <f>IF(AC47=" "," ","SCHUSSFOLGE und REICHWEITEN")</f>
        <v>SCHUSSFOLGE und REICHWEITEN</v>
      </c>
      <c r="AK45" s="148"/>
      <c r="AL45" s="148"/>
      <c r="AM45" s="148"/>
      <c r="AO45" s="146"/>
      <c r="AP45" s="80"/>
      <c r="AQ45" s="80"/>
      <c r="AR45" s="146"/>
      <c r="AS45" s="146"/>
      <c r="AT45" s="146"/>
      <c r="AU45" s="146"/>
      <c r="AV45" s="146"/>
      <c r="AW45" s="80"/>
    </row>
    <row r="46" spans="2:49" s="21" customFormat="1" ht="15" customHeight="1">
      <c r="B46" s="138" t="str">
        <f>IF(AI33="GESCHOSS"," ",IF(AI33="GESCHOSS1"," ",IF(K47=" "," ","SCHLAG")))</f>
        <v>SCHLAG</v>
      </c>
      <c r="C46" s="139"/>
      <c r="D46" s="139"/>
      <c r="E46" s="139" t="str">
        <f>IF(AC47=" "," ",IF(K47=" "," ","WURF"))</f>
        <v>WURF</v>
      </c>
      <c r="F46" s="139"/>
      <c r="G46" s="139"/>
      <c r="H46" s="139" t="str">
        <f>IF(O37=0," ",IF(K47=" "," ","BES."))</f>
        <v> </v>
      </c>
      <c r="I46" s="86"/>
      <c r="J46" s="140"/>
      <c r="K46" s="498" t="str">
        <f>IF(K47=" "," ","BASIS")</f>
        <v>BASIS</v>
      </c>
      <c r="L46" s="345"/>
      <c r="M46" s="345"/>
      <c r="N46" s="499" t="str">
        <f>IF(K47=" "," ","NORMAL")</f>
        <v>NORMAL</v>
      </c>
      <c r="O46" s="499"/>
      <c r="P46" s="499"/>
      <c r="Q46" s="139"/>
      <c r="R46" s="499" t="str">
        <f>IF(R47=" "," ","BES.")</f>
        <v> </v>
      </c>
      <c r="S46" s="346"/>
      <c r="T46" s="498" t="str">
        <f>IF(K47=" "," ","BASIS")</f>
        <v>BASIS</v>
      </c>
      <c r="U46" s="345"/>
      <c r="V46" s="345"/>
      <c r="W46" s="499" t="str">
        <f>IF(K47=" "," ","NORMAL")</f>
        <v>NORMAL</v>
      </c>
      <c r="X46" s="499"/>
      <c r="Y46" s="499"/>
      <c r="Z46" s="139"/>
      <c r="AA46" s="499" t="str">
        <f>IF(AA47=" "," ","BES.")</f>
        <v> </v>
      </c>
      <c r="AB46" s="346"/>
      <c r="AC46" s="532" t="str">
        <f>IF(AC47=" "," ","SF")</f>
        <v>SF</v>
      </c>
      <c r="AD46" s="346"/>
      <c r="AF46" s="532" t="str">
        <f>IF(AF47=" "," ","K")</f>
        <v>K</v>
      </c>
      <c r="AG46" s="346"/>
      <c r="AI46" s="532" t="str">
        <f>IF(AI47=" "," ","M")</f>
        <v>M</v>
      </c>
      <c r="AJ46" s="346"/>
      <c r="AL46" s="532" t="str">
        <f>IF(AL47=" "," ","G")</f>
        <v>G</v>
      </c>
      <c r="AM46" s="346"/>
      <c r="AO46" s="61"/>
      <c r="AP46" s="145"/>
      <c r="AQ46" s="80"/>
      <c r="AR46" s="146"/>
      <c r="AS46" s="146"/>
      <c r="AT46" s="146"/>
      <c r="AU46" s="146"/>
      <c r="AV46" s="146"/>
      <c r="AW46" s="146"/>
    </row>
    <row r="47" spans="2:39" s="21" customFormat="1" ht="15" customHeight="1">
      <c r="B47" s="157">
        <f>IF(AI33="GESCHOSS"," ",IF(K47=" "," ",IF((A45-(IF(V42=" ",0,V42)))&lt;=0,0,A45-(IF(V42=" ",0,V42)))))</f>
        <v>0</v>
      </c>
      <c r="C47" s="502">
        <f>IF(AI33&lt;&gt;"GESCHOSS",IF(K47=" "," ",(IF(R42=" "," ",R42-(2*R42))))," ")</f>
        <v>-3</v>
      </c>
      <c r="D47" s="538"/>
      <c r="E47" s="157">
        <f>IF(AC47=" "," ",IF(K47=" "," ",IF((A45-IF(V42=" ",0,V42))&lt;=0,0,A45-(IF(V42=" ",0,V42)))))</f>
        <v>0</v>
      </c>
      <c r="F47" s="502">
        <f>IF(K47=" "," ",IF(AC47=" "," ",(IF(R42=" "," ",R42-(2*R42)))))</f>
        <v>-3</v>
      </c>
      <c r="G47" s="538"/>
      <c r="H47" s="156" t="str">
        <f>IF(O37=0," ",IF(K47=" "," ",IF((A45-(IF(AA42=" ",0,AA42)))&lt;=0,0,A45-(IF(AA42=" ",0,AA42)))))</f>
        <v> </v>
      </c>
      <c r="I47" s="502" t="str">
        <f>IF(O37=0," ",IF(K47=" "," ",(IF(R42=" "," ",R42-(2*R42)))))</f>
        <v> </v>
      </c>
      <c r="J47" s="503"/>
      <c r="K47" s="512" t="str">
        <f>IF(VLOOKUP(A39,Waffen!$B$4:$M$177,8)=0," ",VLOOKUP($A39,Waffen!$B$4:$Q$209,8))</f>
        <v>1W4</v>
      </c>
      <c r="L47" s="513"/>
      <c r="M47" s="510"/>
      <c r="N47" s="509">
        <f>IF(K47=" "," ",IF(AI33="GESCHOSS1",0+V43,IF(AND(AI33="+1",$D39=TRUE),0+M43+Q43+V43,0+M43+Q43+V43)))</f>
        <v>5</v>
      </c>
      <c r="O47" s="509"/>
      <c r="P47" s="509"/>
      <c r="Q47" s="129"/>
      <c r="R47" s="509" t="str">
        <f>IF(O37=0," ",IF(K47=" "," ",IF(AI33="Geschoss1",0+AA43,IF(AND(AI33="+1",$D39=TRUE),0+M43+Q43+AA43,0+M43+Q43+AA43))))</f>
        <v> </v>
      </c>
      <c r="S47" s="516"/>
      <c r="T47" s="504" t="str">
        <f>IF(VLOOKUP(A39,Waffen!$B$4:$M$177,9)=0," ",VLOOKUP($A39,Waffen!$B$4:$Q$209,9))</f>
        <v>1W3</v>
      </c>
      <c r="U47" s="505"/>
      <c r="V47" s="351"/>
      <c r="W47" s="509">
        <f>IF(K47=" "," ",IF(AI33="GESCHOSS1",0+V43,IF(AND(AI33="+1",$D39=TRUE),0+M43+Q43+V43,0+M43+Q43+V43)))</f>
        <v>5</v>
      </c>
      <c r="X47" s="509"/>
      <c r="Y47" s="510"/>
      <c r="Z47" s="129"/>
      <c r="AA47" s="509" t="str">
        <f>IF(O37=0," ",IF(K47=" "," ",IF(AI33="Geschoss1",0+AA43,IF(AND(AI33="+1",$D39=TRUE),0+M43+Q43+AA43,0+M43+Q43+AA43))))</f>
        <v> </v>
      </c>
      <c r="AB47" s="516"/>
      <c r="AC47" s="528" t="str">
        <f>IF(VLOOKUP($A39,Waffen!$B$4:$Q$200,13)=0," ",VLOOKUP($A39,Waffen!$B$4:$Q$200,13))</f>
        <v>2/1</v>
      </c>
      <c r="AD47" s="324"/>
      <c r="AF47" s="528" t="str">
        <f>IF(VLOOKUP($A39,Waffen!$B$4:$Q$200,14)=0," ",VLOOKUP($A39,Waffen!$B$4:$Q$200,14))</f>
        <v>1</v>
      </c>
      <c r="AG47" s="324"/>
      <c r="AI47" s="528" t="str">
        <f>IF(VLOOKUP($A39,Waffen!$B$4:$Q$200,15)=0," ",VLOOKUP($A39,Waffen!$B$4:$Q$200,15))</f>
        <v>2</v>
      </c>
      <c r="AJ47" s="324"/>
      <c r="AL47" s="528" t="str">
        <f>IF(VLOOKUP($A39,Waffen!$B$4:$Q$200,16)=0," ",VLOOKUP($A39,Waffen!$B$4:$Q$200,16))</f>
        <v>3</v>
      </c>
      <c r="AM47" s="324"/>
    </row>
    <row r="48" spans="1:28" s="21" customFormat="1" ht="15" customHeight="1">
      <c r="A48" s="81" t="str">
        <f>IF(Waffenbogen!K50=" "," ",IF(AI33="GESCHOSS",VLOOKUP($A39,Waffen!$B$4:$Q$209,7),IF(AI33="GESCHOSS1",VLOOKUP($A39,Waffen!$B$4:$Q$209,7),IF(AND(AI33="JA",D39=TRUE,$AN$12=-2),VLOOKUP($A39,Waffen!$B$4:$Q$209,7)-3,VLOOKUP($A39,Waffen!$B$4:$Q$209,7)))))</f>
        <v> </v>
      </c>
      <c r="B48" s="520" t="str">
        <f>IF(K50=" "," ","INITATIVE BEIHÄNDIG")</f>
        <v> </v>
      </c>
      <c r="C48" s="521"/>
      <c r="D48" s="521"/>
      <c r="E48" s="521"/>
      <c r="F48" s="521"/>
      <c r="G48" s="521"/>
      <c r="H48" s="521"/>
      <c r="I48" s="521"/>
      <c r="J48" s="521"/>
      <c r="K48" s="169" t="str">
        <f>IF(K50=" "," ","SCHADEN K-M BEIDHÄNDIG")</f>
        <v> </v>
      </c>
      <c r="L48" s="132"/>
      <c r="M48" s="132"/>
      <c r="N48" s="147"/>
      <c r="O48" s="147"/>
      <c r="P48" s="144"/>
      <c r="Q48" s="144"/>
      <c r="R48" s="133"/>
      <c r="S48" s="148"/>
      <c r="T48" s="169" t="str">
        <f>IF(T50=" "," ","SCHADEN G BEIDHÄNDIG")</f>
        <v> </v>
      </c>
      <c r="U48" s="132"/>
      <c r="V48" s="132"/>
      <c r="W48" s="147"/>
      <c r="X48" s="147"/>
      <c r="Y48" s="144"/>
      <c r="Z48" s="144"/>
      <c r="AA48" s="133"/>
      <c r="AB48" s="148"/>
    </row>
    <row r="49" spans="2:28" s="21" customFormat="1" ht="14.25" customHeight="1">
      <c r="B49" s="138" t="str">
        <f>IF(K50=" "," ",IF(AI33="GESCHOSS"," ",IF(AI33="GESCHOSS1"," ","SCHLAG")))</f>
        <v> </v>
      </c>
      <c r="C49" s="139"/>
      <c r="D49" s="139"/>
      <c r="E49" s="139" t="str">
        <f>IF(K50=" "," ",IF(AC47=" "," ","WURF"))</f>
        <v> </v>
      </c>
      <c r="F49" s="139"/>
      <c r="G49" s="139"/>
      <c r="H49" s="139" t="str">
        <f>IF(K50=" "," ",IF(O37=0," ","BES."))</f>
        <v> </v>
      </c>
      <c r="J49" s="87"/>
      <c r="K49" s="498" t="str">
        <f>IF(K50=" "," ","BASIS")</f>
        <v> </v>
      </c>
      <c r="L49" s="345"/>
      <c r="M49" s="345"/>
      <c r="N49" s="499" t="str">
        <f>IF(K50=" "," ","NORMAL")</f>
        <v> </v>
      </c>
      <c r="O49" s="499"/>
      <c r="P49" s="499"/>
      <c r="Q49" s="139"/>
      <c r="R49" s="499" t="str">
        <f>IF(R50=" "," ","BES.")</f>
        <v> </v>
      </c>
      <c r="S49" s="346"/>
      <c r="T49" s="498" t="str">
        <f>IF(K50=" "," ","BASIS")</f>
        <v> </v>
      </c>
      <c r="U49" s="345"/>
      <c r="V49" s="345"/>
      <c r="W49" s="499" t="str">
        <f>IF(K50=" "," ","NORMAL")</f>
        <v> </v>
      </c>
      <c r="X49" s="499"/>
      <c r="Y49" s="499"/>
      <c r="Z49" s="139"/>
      <c r="AA49" s="499" t="str">
        <f>IF(AA50=" "," ","BES.")</f>
        <v> </v>
      </c>
      <c r="AB49" s="346"/>
    </row>
    <row r="50" spans="1:39" s="130" customFormat="1" ht="12.75">
      <c r="A50" s="155">
        <f>IF($B39=TRUE,0,$AN$12)</f>
        <v>0</v>
      </c>
      <c r="B50" s="157" t="str">
        <f>IF(B49=" "," ",IF((A48-(IF(V42=" ",0,(IF(V42=" ",0,V42)))))&lt;=0,0,A48-(IF(V42=" ",0,V42))))</f>
        <v> </v>
      </c>
      <c r="C50" s="502" t="str">
        <f>IF(AI33="GESCHOSS"," ",IF(AI33="GESCHOSS1"," ",IF(K50=" "," ",(IF(R42=" "," ",R42-(2*R42))))))</f>
        <v> </v>
      </c>
      <c r="D50" s="503"/>
      <c r="E50" s="157" t="str">
        <f>IF(AND(K50&lt;&gt;" ",AC47&lt;&gt;" "),IF((A48-(IF(V42=" ",0,V42)))&lt;=0,0,A48-(IF(V42=" ",0,V42)))," ")</f>
        <v> </v>
      </c>
      <c r="F50" s="502" t="str">
        <f>IF(K50=" "," ",IF(AC47=" "," ",(IF(R42=" "," ",R42-(2*R42)))))</f>
        <v> </v>
      </c>
      <c r="G50" s="503"/>
      <c r="H50" s="157" t="str">
        <f>IF(O37=0," ",IF(K50=" "," ",IF((A48-(IF(V42=" ",0,V42)))&lt;=0,0,A48-(IF(V42=" ",0,V42)))))</f>
        <v> </v>
      </c>
      <c r="I50" s="506" t="str">
        <f>IF(K50=" "," ",IF(AND(O37=0,R42=" ")," ",(IF(R42=" "," ",R42-(2*R42)))))</f>
        <v> </v>
      </c>
      <c r="J50" s="507"/>
      <c r="K50" s="504" t="str">
        <f>IF(IF(VLOOKUP(A39,Waffen!$B$4:$M$177,10)=0,0,VLOOKUP($A39,Waffen!$B$4:$Q$209,10))=0," ",VLOOKUP($A39,Waffen!$B$4:$Q$209,10))</f>
        <v> </v>
      </c>
      <c r="L50" s="505"/>
      <c r="M50" s="351"/>
      <c r="N50" s="500" t="str">
        <f>IF(K50=" "," ",IF(AI33="GESCHOSS1",0+V43,IF(AND(AI33="+1",$D39=TRUE),0+M43+Q43+V43+1,0+M43+Q43+V43)))</f>
        <v> </v>
      </c>
      <c r="O50" s="500"/>
      <c r="P50" s="501"/>
      <c r="Q50" s="129"/>
      <c r="R50" s="500" t="str">
        <f>IF(K50=" "," ",IF(AI33="GESCHOSS1",0+AA43,IF(AND(AI33="+1",$D39=TRUE),0+M43+Q43+AA43+1,0+M43+Q43+AA43)))</f>
        <v> </v>
      </c>
      <c r="S50" s="508"/>
      <c r="T50" s="504" t="str">
        <f>IF(IF(AI33="NEIN",0,VLOOKUP($A39,Waffen!$B$4:$Q$209,11))=0," ",VLOOKUP($A39,Waffen!$B$4:$Q$209,11))</f>
        <v> </v>
      </c>
      <c r="U50" s="505"/>
      <c r="V50" s="351"/>
      <c r="W50" s="500" t="str">
        <f>IF(K50=" "," ",IF(AI33="GESCHOSS1",0+V43,IF(AND(AI33="+1",$D39=TRUE),0+M43+Q43+V43+1,0+M43+Q43+V43)))</f>
        <v> </v>
      </c>
      <c r="X50" s="500"/>
      <c r="Y50" s="501"/>
      <c r="Z50" s="129"/>
      <c r="AA50" s="500" t="str">
        <f>IF(K50=" "," ",IF(AI33="GESCHOSS1",0+AA43,IF(AND(AI33="+1",$D39=TRUE),0+M43+Q43+AA43+1,0+M43+Q43+AA43)))</f>
        <v> </v>
      </c>
      <c r="AB50" s="508"/>
      <c r="AE50" s="531"/>
      <c r="AF50" s="531"/>
      <c r="AG50" s="531"/>
      <c r="AH50" s="531"/>
      <c r="AK50" s="79"/>
      <c r="AL50" s="79"/>
      <c r="AM50" s="79"/>
    </row>
    <row r="51" s="130" customFormat="1" ht="10.5"/>
    <row r="52" spans="1:39" ht="14.25" customHeight="1">
      <c r="A52" s="65"/>
      <c r="B52" s="154"/>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row>
    <row r="53" spans="1:40" ht="12.75">
      <c r="A53" s="522" t="s">
        <v>1807</v>
      </c>
      <c r="B53" s="522"/>
      <c r="C53" s="522"/>
      <c r="D53" s="522"/>
      <c r="E53" s="522"/>
      <c r="F53" s="522"/>
      <c r="G53" s="522"/>
      <c r="H53" s="522"/>
      <c r="I53" s="522"/>
      <c r="J53" s="522"/>
      <c r="K53" s="522"/>
      <c r="L53" s="522"/>
      <c r="M53" s="522"/>
      <c r="N53" s="522"/>
      <c r="O53" s="522"/>
      <c r="P53" s="522"/>
      <c r="Q53" s="522"/>
      <c r="R53" s="522"/>
      <c r="S53" s="522"/>
      <c r="T53" s="522"/>
      <c r="U53" s="522"/>
      <c r="V53" s="522"/>
      <c r="AC53" s="297" t="s">
        <v>1708</v>
      </c>
      <c r="AD53" s="281"/>
      <c r="AE53" s="281"/>
      <c r="AF53" s="281"/>
      <c r="AG53" s="281"/>
      <c r="AH53" s="281"/>
      <c r="AI53" s="535" t="str">
        <f>VLOOKUP($A59,Waffen!$B$4:$Q$209,12)</f>
        <v>JA</v>
      </c>
      <c r="AJ53" s="535"/>
      <c r="AK53" s="536"/>
      <c r="AL53" s="536"/>
      <c r="AM53" s="536"/>
      <c r="AN53" s="536"/>
    </row>
    <row r="54" spans="1:29" ht="3" customHeight="1">
      <c r="A54" s="143"/>
      <c r="B54" s="143"/>
      <c r="C54" s="143"/>
      <c r="D54" s="143"/>
      <c r="E54" s="143"/>
      <c r="F54" s="143"/>
      <c r="G54" s="143"/>
      <c r="H54" s="143"/>
      <c r="I54" s="143"/>
      <c r="J54" s="143"/>
      <c r="K54" s="143"/>
      <c r="L54" s="143"/>
      <c r="M54" s="143"/>
      <c r="N54" s="143"/>
      <c r="O54" s="143"/>
      <c r="P54" s="143"/>
      <c r="Q54" s="143"/>
      <c r="R54" s="143"/>
      <c r="S54" s="143"/>
      <c r="T54" s="143"/>
      <c r="U54" s="143"/>
      <c r="V54" s="143"/>
      <c r="AC54" s="130"/>
    </row>
    <row r="55" spans="1:34" ht="12.75">
      <c r="A55" s="16" t="s">
        <v>1710</v>
      </c>
      <c r="B55" s="523" t="str">
        <f>VLOOKUP($A59,Waffen!$B$4:$Q$209,2)</f>
        <v>Zweihänder</v>
      </c>
      <c r="C55" s="524"/>
      <c r="D55" s="524"/>
      <c r="E55" s="524"/>
      <c r="F55" s="524"/>
      <c r="G55" s="524"/>
      <c r="H55" s="524"/>
      <c r="I55" s="524"/>
      <c r="J55" s="524"/>
      <c r="K55" s="524"/>
      <c r="L55" s="524"/>
      <c r="M55" s="524"/>
      <c r="N55" s="524"/>
      <c r="O55" s="524"/>
      <c r="P55" s="524"/>
      <c r="Q55" s="525"/>
      <c r="S55" s="134" t="s">
        <v>1711</v>
      </c>
      <c r="Z55" s="523" t="str">
        <f>VLOOKUP($A59,Waffen!$B$4:$Q$209,5)</f>
        <v>K</v>
      </c>
      <c r="AA55" s="525"/>
      <c r="AC55" s="73" t="s">
        <v>889</v>
      </c>
      <c r="AG55" s="523" t="str">
        <f>VLOOKUP($A59,Waffen!$B$4:$Q$209,4)</f>
        <v>G</v>
      </c>
      <c r="AH55" s="525"/>
    </row>
    <row r="56" spans="1:34" ht="3" customHeight="1">
      <c r="A56" s="16"/>
      <c r="B56" s="64"/>
      <c r="C56" s="64"/>
      <c r="D56" s="64"/>
      <c r="E56" s="64"/>
      <c r="F56" s="64"/>
      <c r="G56" s="64"/>
      <c r="H56" s="64"/>
      <c r="I56" s="64"/>
      <c r="J56" s="64"/>
      <c r="K56" s="64"/>
      <c r="L56" s="64"/>
      <c r="M56" s="64"/>
      <c r="N56" s="64"/>
      <c r="O56" s="64"/>
      <c r="P56" s="64"/>
      <c r="Q56" s="64"/>
      <c r="S56" s="134"/>
      <c r="Z56" s="64"/>
      <c r="AA56" s="64"/>
      <c r="AC56" s="73"/>
      <c r="AG56" s="64"/>
      <c r="AH56" s="64"/>
    </row>
    <row r="57" spans="1:40" ht="12.75">
      <c r="A57" s="73" t="s">
        <v>1709</v>
      </c>
      <c r="E57" s="517" t="s">
        <v>2496</v>
      </c>
      <c r="F57" s="518"/>
      <c r="H57" s="73" t="s">
        <v>236</v>
      </c>
      <c r="O57" s="517" t="s">
        <v>69</v>
      </c>
      <c r="P57" s="518"/>
      <c r="R57" s="73" t="s">
        <v>1707</v>
      </c>
      <c r="T57" s="523" t="s">
        <v>239</v>
      </c>
      <c r="U57" s="375"/>
      <c r="V57" s="375"/>
      <c r="W57" s="375"/>
      <c r="X57" s="375"/>
      <c r="Y57" s="375"/>
      <c r="Z57" s="375"/>
      <c r="AA57" s="375"/>
      <c r="AB57" s="375"/>
      <c r="AC57" s="375"/>
      <c r="AD57" s="375"/>
      <c r="AE57" s="375"/>
      <c r="AF57" s="375"/>
      <c r="AG57" s="375"/>
      <c r="AH57" s="375"/>
      <c r="AI57" s="375"/>
      <c r="AJ57" s="375"/>
      <c r="AK57" s="375"/>
      <c r="AL57" s="375"/>
      <c r="AM57" s="375"/>
      <c r="AN57" s="376"/>
    </row>
    <row r="58" spans="1:16" ht="1.5" customHeight="1">
      <c r="A58" s="73"/>
      <c r="H58" s="73"/>
      <c r="I58" s="125" t="b">
        <v>0</v>
      </c>
      <c r="P58" s="73"/>
    </row>
    <row r="59" spans="1:4" s="125" customFormat="1" ht="1.5" customHeight="1">
      <c r="A59" s="135">
        <v>123</v>
      </c>
      <c r="B59" s="125" t="b">
        <v>1</v>
      </c>
      <c r="C59" s="125" t="b">
        <v>0</v>
      </c>
      <c r="D59" s="125" t="b">
        <v>1</v>
      </c>
    </row>
    <row r="60" ht="14.25" customHeight="1">
      <c r="A60" s="127" t="s">
        <v>724</v>
      </c>
    </row>
    <row r="61" spans="1:39" s="21" customFormat="1" ht="15" customHeight="1">
      <c r="A61" s="81">
        <f>MIN('BOGEN "ALLE"'!$AP$22:$AR$22)-A70</f>
        <v>15</v>
      </c>
      <c r="B61" s="138" t="str">
        <f>IF(AI53="GESCHOSS"," ",IF(AI53="GESCHOSS1"," ","SCHLAG"))</f>
        <v>SCHLAG</v>
      </c>
      <c r="C61" s="139"/>
      <c r="D61" s="139"/>
      <c r="E61" s="139" t="str">
        <f>IF(AC67=" "," ","WURF")</f>
        <v> </v>
      </c>
      <c r="F61" s="139"/>
      <c r="G61" s="139"/>
      <c r="H61" s="139"/>
      <c r="I61" s="139" t="str">
        <f>IF(O57=0," ","BES.")</f>
        <v>BES.</v>
      </c>
      <c r="J61" s="168"/>
      <c r="K61" s="532" t="str">
        <f>IF(K62=" "," ","MOD SPEZ.")</f>
        <v> </v>
      </c>
      <c r="L61" s="533"/>
      <c r="M61" s="533"/>
      <c r="N61" s="534"/>
      <c r="O61" s="532" t="str">
        <f>IF(AND(O62=" ",Q62=" ")," ","MOD.ST")</f>
        <v>MOD.ST</v>
      </c>
      <c r="P61" s="533"/>
      <c r="Q61" s="534"/>
      <c r="R61" s="532" t="str">
        <f>IF(R62=" "," ","MOD GE")</f>
        <v>MOD GE</v>
      </c>
      <c r="S61" s="533"/>
      <c r="T61" s="533"/>
      <c r="U61" s="534"/>
      <c r="V61" s="532" t="str">
        <f>IF(E57=0," ","MOD. WAFFE")</f>
        <v>MOD. WAFFE</v>
      </c>
      <c r="W61" s="533"/>
      <c r="X61" s="533"/>
      <c r="Y61" s="533"/>
      <c r="Z61" s="534"/>
      <c r="AA61" s="532" t="str">
        <f>IF(O57=0," ","MOD WAFFE SPEZIELL")</f>
        <v>MOD WAFFE SPEZIELL</v>
      </c>
      <c r="AB61" s="533"/>
      <c r="AC61" s="533"/>
      <c r="AD61" s="533"/>
      <c r="AE61" s="533"/>
      <c r="AF61" s="533"/>
      <c r="AG61" s="533"/>
      <c r="AH61" s="533"/>
      <c r="AI61" s="533"/>
      <c r="AJ61" s="533"/>
      <c r="AK61" s="533"/>
      <c r="AL61" s="533"/>
      <c r="AM61" s="534"/>
    </row>
    <row r="62" spans="2:39" s="21" customFormat="1" ht="15" customHeight="1">
      <c r="B62" s="142">
        <f>IF(AI53="GESCHOSS"," ",IF(AI53="Geschoss1"," ",IF(A59=1," ",A61-(IF(K62=" ",0,K62))-(IF(O62=" ",0,O62))-(IF(V62=" ",0,V62)))))</f>
        <v>12</v>
      </c>
      <c r="C62" s="99"/>
      <c r="D62" s="128"/>
      <c r="E62" s="136" t="str">
        <f>IF(A59=1," ",IF(AC67=" "," ",IF(AI53="GESCHOSS1",A61-(IF(K62=" ",0,K62))-(IF(R62=" ",0,R62))-(IF(V62=" ","0",V62)),A61-(IF(K62=" ",0,K62))-(IF(O62=" ",0,O62))-(IF(R62=" ",0,R62))-(IF(V62=" ","0",V62)))))</f>
        <v> </v>
      </c>
      <c r="F62" s="99"/>
      <c r="G62" s="99"/>
      <c r="H62" s="128"/>
      <c r="I62" s="141">
        <f>IF(O57=0," ",IF(AI53="Geschoss1",A61-(IF(O62=" ",0,O62))-(IF(AA62=" ",0,AA62))-(IF(AND(AC67&lt;&gt;" ",R62&lt;&gt;" "),R62,0)),A61-(IF(K62=" ",0,K62))-(IF(O62=" ",0,O62))-(IF(AA62=" ",0,AA62))-(IF(AND(AC67&lt;&gt;" ",R62&lt;&gt;" "),R62,0))))</f>
        <v>9</v>
      </c>
      <c r="J62" s="126"/>
      <c r="K62" s="515" t="str">
        <f>IF($AN$12&lt;-2," ",IF($C59=TRUE,"+1"," "))</f>
        <v> </v>
      </c>
      <c r="L62" s="537"/>
      <c r="M62" s="509" t="str">
        <f>IF($AN$12&lt;-2," ",IF($C59=TRUE,"+2"," "))</f>
        <v> </v>
      </c>
      <c r="N62" s="514"/>
      <c r="O62" s="167" t="str">
        <f>IF('BOGEN "ALLE"'!$G$26="NORMAL"," ",'BOGEN "ALLE"'!$G$26)</f>
        <v>+2</v>
      </c>
      <c r="P62" s="136"/>
      <c r="Q62" s="166" t="str">
        <f>IF('BOGEN "ALLE"'!$K$26="KEINE"," ",'BOGEN "ALLE"'!$K$26)</f>
        <v>+3</v>
      </c>
      <c r="R62" s="515" t="str">
        <f>IF('BOGEN "ALLE"'!$K$30="KEINE"," ",'BOGEN "ALLE"'!$K$30)</f>
        <v>+3</v>
      </c>
      <c r="S62" s="509"/>
      <c r="T62" s="509"/>
      <c r="U62" s="516"/>
      <c r="V62" s="515" t="str">
        <f>IF(E57=""," ",E57)</f>
        <v>+1</v>
      </c>
      <c r="W62" s="509"/>
      <c r="X62" s="509"/>
      <c r="Y62" s="509"/>
      <c r="Z62" s="516"/>
      <c r="AA62" s="526" t="str">
        <f>IF(O57=0," ",O57)</f>
        <v>+4</v>
      </c>
      <c r="AB62" s="500"/>
      <c r="AC62" s="527" t="str">
        <f>IF(O57=0," ","gg.")</f>
        <v>gg.</v>
      </c>
      <c r="AD62" s="527"/>
      <c r="AE62" s="509" t="str">
        <f>IF(T57=0," ",T57)</f>
        <v>UNTOTE</v>
      </c>
      <c r="AF62" s="529"/>
      <c r="AG62" s="529"/>
      <c r="AH62" s="529"/>
      <c r="AI62" s="529"/>
      <c r="AJ62" s="529"/>
      <c r="AK62" s="529"/>
      <c r="AL62" s="529"/>
      <c r="AM62" s="530"/>
    </row>
    <row r="63" spans="2:39" s="21" customFormat="1" ht="4.5" customHeight="1">
      <c r="B63" s="149"/>
      <c r="C63" s="86"/>
      <c r="D63" s="139"/>
      <c r="E63" s="149"/>
      <c r="F63" s="86"/>
      <c r="G63" s="86"/>
      <c r="H63" s="139"/>
      <c r="I63" s="150"/>
      <c r="J63" s="86"/>
      <c r="K63" s="511"/>
      <c r="L63" s="511"/>
      <c r="M63" s="511">
        <f>IF(M62=" ",0,M62)</f>
        <v>0</v>
      </c>
      <c r="N63" s="511"/>
      <c r="O63" s="299"/>
      <c r="P63" s="300"/>
      <c r="Q63" s="298" t="str">
        <f>IF(Q62=" ",0,Q62)</f>
        <v>+3</v>
      </c>
      <c r="R63" s="299"/>
      <c r="S63" s="299"/>
      <c r="T63" s="299"/>
      <c r="U63" s="299"/>
      <c r="V63" s="511" t="str">
        <f>IF(V62=" ",0,V62)</f>
        <v>+1</v>
      </c>
      <c r="W63" s="511"/>
      <c r="X63" s="511"/>
      <c r="Y63" s="511"/>
      <c r="Z63" s="511"/>
      <c r="AA63" s="519" t="str">
        <f>IF(AA62=" ",0,AA62)</f>
        <v>+4</v>
      </c>
      <c r="AB63" s="519"/>
      <c r="AC63" s="301"/>
      <c r="AD63" s="151"/>
      <c r="AE63" s="152"/>
      <c r="AF63" s="153"/>
      <c r="AG63" s="153"/>
      <c r="AH63" s="153"/>
      <c r="AI63" s="153"/>
      <c r="AJ63" s="153"/>
      <c r="AK63" s="153"/>
      <c r="AL63" s="153"/>
      <c r="AM63" s="148"/>
    </row>
    <row r="64" spans="1:49" s="21" customFormat="1" ht="14.25" customHeight="1">
      <c r="A64" s="127" t="s">
        <v>235</v>
      </c>
      <c r="B64" s="131"/>
      <c r="C64" s="80"/>
      <c r="D64" s="146"/>
      <c r="E64" s="131"/>
      <c r="F64" s="80"/>
      <c r="G64" s="80"/>
      <c r="H64" s="146"/>
      <c r="I64" s="147"/>
      <c r="J64" s="80"/>
      <c r="K64" s="132"/>
      <c r="L64" s="132"/>
      <c r="M64" s="132"/>
      <c r="N64" s="132"/>
      <c r="O64" s="131"/>
      <c r="P64" s="131"/>
      <c r="Q64" s="131"/>
      <c r="R64" s="131"/>
      <c r="S64" s="131"/>
      <c r="T64" s="131"/>
      <c r="U64" s="131"/>
      <c r="V64" s="132"/>
      <c r="W64" s="132"/>
      <c r="X64" s="132"/>
      <c r="Y64" s="132"/>
      <c r="Z64" s="132"/>
      <c r="AA64" s="147"/>
      <c r="AB64" s="147"/>
      <c r="AC64" s="144"/>
      <c r="AD64" s="144"/>
      <c r="AE64" s="133"/>
      <c r="AF64" s="148"/>
      <c r="AG64" s="148"/>
      <c r="AH64" s="148"/>
      <c r="AI64" s="148"/>
      <c r="AJ64" s="148"/>
      <c r="AK64" s="148"/>
      <c r="AL64" s="148"/>
      <c r="AM64" s="148"/>
      <c r="AO64" s="146"/>
      <c r="AP64" s="146"/>
      <c r="AQ64" s="146"/>
      <c r="AR64" s="146"/>
      <c r="AS64" s="146"/>
      <c r="AT64" s="146"/>
      <c r="AU64" s="146"/>
      <c r="AV64" s="146"/>
      <c r="AW64" s="146"/>
    </row>
    <row r="65" spans="1:49" s="21" customFormat="1" ht="15" customHeight="1">
      <c r="A65" s="81" t="str">
        <f>IF(K67=" "," ",VLOOKUP($A59,Waffen!$B$4:$Q$209,6))</f>
        <v> </v>
      </c>
      <c r="B65" s="496" t="str">
        <f>IF(K67=" "," ","INITATIVE EINHÄNDIG")</f>
        <v> </v>
      </c>
      <c r="C65" s="497"/>
      <c r="D65" s="497"/>
      <c r="E65" s="497"/>
      <c r="F65" s="497"/>
      <c r="G65" s="497"/>
      <c r="H65" s="497"/>
      <c r="I65" s="497"/>
      <c r="J65" s="497"/>
      <c r="K65" s="170" t="str">
        <f>IF(K67=" "," ","SCHADEN K-M EINHÄNDIG")</f>
        <v> </v>
      </c>
      <c r="L65" s="136"/>
      <c r="M65" s="136"/>
      <c r="N65" s="136"/>
      <c r="O65" s="136"/>
      <c r="P65" s="136"/>
      <c r="Q65" s="136"/>
      <c r="R65" s="136"/>
      <c r="S65" s="136"/>
      <c r="T65" s="170" t="str">
        <f>IF(K67=" "," ","SCHADEN G EINHÄNDIG")</f>
        <v> </v>
      </c>
      <c r="U65" s="137"/>
      <c r="V65" s="137"/>
      <c r="W65" s="137"/>
      <c r="X65" s="137"/>
      <c r="Y65" s="137"/>
      <c r="Z65" s="137"/>
      <c r="AA65" s="136"/>
      <c r="AB65" s="136"/>
      <c r="AC65" s="158" t="str">
        <f>IF(AC67=" "," ","SCHUSSFOLGE und REICHWEITEN")</f>
        <v> </v>
      </c>
      <c r="AK65" s="148"/>
      <c r="AL65" s="148"/>
      <c r="AM65" s="148"/>
      <c r="AO65" s="146"/>
      <c r="AP65" s="80"/>
      <c r="AQ65" s="80"/>
      <c r="AR65" s="146"/>
      <c r="AS65" s="146"/>
      <c r="AT65" s="146"/>
      <c r="AU65" s="146"/>
      <c r="AV65" s="146"/>
      <c r="AW65" s="80"/>
    </row>
    <row r="66" spans="2:49" s="21" customFormat="1" ht="15" customHeight="1">
      <c r="B66" s="138" t="str">
        <f>IF(AI53="GESCHOSS"," ",IF(AI53="GESCHOSS1"," ",IF(K67=" "," ","SCHLAG")))</f>
        <v> </v>
      </c>
      <c r="C66" s="139"/>
      <c r="D66" s="139"/>
      <c r="E66" s="139" t="str">
        <f>IF(AC67=" "," ",IF(K67=" "," ","WURF"))</f>
        <v> </v>
      </c>
      <c r="F66" s="139"/>
      <c r="G66" s="139"/>
      <c r="H66" s="139" t="str">
        <f>IF(O57=0," ",IF(K67=" "," ","BES."))</f>
        <v> </v>
      </c>
      <c r="I66" s="86"/>
      <c r="J66" s="140"/>
      <c r="K66" s="498" t="str">
        <f>IF(K67=" "," ","BASIS")</f>
        <v> </v>
      </c>
      <c r="L66" s="345"/>
      <c r="M66" s="345"/>
      <c r="N66" s="499" t="str">
        <f>IF(K67=" "," ","NORMAL")</f>
        <v> </v>
      </c>
      <c r="O66" s="499"/>
      <c r="P66" s="499"/>
      <c r="Q66" s="139"/>
      <c r="R66" s="499" t="str">
        <f>IF(R67=" "," ","BES.")</f>
        <v> </v>
      </c>
      <c r="S66" s="346"/>
      <c r="T66" s="498" t="str">
        <f>IF(K67=" "," ","BASIS")</f>
        <v> </v>
      </c>
      <c r="U66" s="345"/>
      <c r="V66" s="345"/>
      <c r="W66" s="499" t="str">
        <f>IF(K67=" "," ","NORMAL")</f>
        <v> </v>
      </c>
      <c r="X66" s="499"/>
      <c r="Y66" s="499"/>
      <c r="Z66" s="139"/>
      <c r="AA66" s="499" t="str">
        <f>IF(AA67=" "," ","BES.")</f>
        <v> </v>
      </c>
      <c r="AB66" s="346"/>
      <c r="AC66" s="532" t="str">
        <f>IF(AC67=" "," ","SF")</f>
        <v> </v>
      </c>
      <c r="AD66" s="346"/>
      <c r="AF66" s="532" t="str">
        <f>IF(AF67=" "," ","K")</f>
        <v> </v>
      </c>
      <c r="AG66" s="346"/>
      <c r="AI66" s="532" t="str">
        <f>IF(AI67=" "," ","M")</f>
        <v> </v>
      </c>
      <c r="AJ66" s="346"/>
      <c r="AL66" s="532" t="str">
        <f>IF(AL67=" "," ","G")</f>
        <v> </v>
      </c>
      <c r="AM66" s="346"/>
      <c r="AO66" s="61"/>
      <c r="AP66" s="145"/>
      <c r="AQ66" s="80"/>
      <c r="AR66" s="146"/>
      <c r="AS66" s="146"/>
      <c r="AT66" s="146"/>
      <c r="AU66" s="146"/>
      <c r="AV66" s="146"/>
      <c r="AW66" s="146"/>
    </row>
    <row r="67" spans="2:39" s="21" customFormat="1" ht="15" customHeight="1">
      <c r="B67" s="157" t="str">
        <f>IF(AI53="GESCHOSS"," ",IF(K67=" "," ",IF((A65-(IF(V62=" ",0,V62)))&lt;=0,0,A65-(IF(V62=" ",0,V62)))))</f>
        <v> </v>
      </c>
      <c r="C67" s="502" t="str">
        <f>IF(AI53&lt;&gt;"GESCHOSS",IF(K67=" "," ",(IF(R62=" "," ",R62-(2*R62))))," ")</f>
        <v> </v>
      </c>
      <c r="D67" s="538"/>
      <c r="E67" s="157" t="str">
        <f>IF(AC67=" "," ",IF(K67=" "," ",IF((A65-IF(V62=" ",0,V62))&lt;=0,0,A65-(IF(V62=" ",0,V62)))))</f>
        <v> </v>
      </c>
      <c r="F67" s="502" t="str">
        <f>IF(K67=" "," ",IF(AC67=" "," ",(IF(R62=" "," ",R62-(2*R62)))))</f>
        <v> </v>
      </c>
      <c r="G67" s="538"/>
      <c r="H67" s="156" t="str">
        <f>IF(O57=0," ",IF(K67=" "," ",IF((A65-(IF(AA62=" ",0,AA62)))&lt;=0,0,A65-(IF(AA62=" ",0,AA62)))))</f>
        <v> </v>
      </c>
      <c r="I67" s="502" t="str">
        <f>IF(O57=0," ",IF(K67=" "," ",(IF(R62=" "," ",R62-(2*R62)))))</f>
        <v> </v>
      </c>
      <c r="J67" s="503"/>
      <c r="K67" s="512" t="str">
        <f>IF(VLOOKUP(A59,Waffen!$B$4:$M$177,8)=0," ",VLOOKUP($A59,Waffen!$B$4:$Q$209,8))</f>
        <v> </v>
      </c>
      <c r="L67" s="513"/>
      <c r="M67" s="510"/>
      <c r="N67" s="509" t="str">
        <f>IF(K67=" "," ",IF(AI53="GESCHOSS1",0+V63,IF(AND(AI53="+1",$D59=TRUE),0+M63+Q63+V63,0+M63+Q63+V63)))</f>
        <v> </v>
      </c>
      <c r="O67" s="509"/>
      <c r="P67" s="509"/>
      <c r="Q67" s="129"/>
      <c r="R67" s="509" t="str">
        <f>IF(O57=0," ",IF(K67=" "," ",IF(AI53="Geschoss1",0+AA63,IF(AND(AI53="+1",$D59=TRUE),0+M63+Q63+AA63,0+M63+Q63+AA63))))</f>
        <v> </v>
      </c>
      <c r="S67" s="516"/>
      <c r="T67" s="504" t="str">
        <f>IF(VLOOKUP(A59,Waffen!$B$4:$M$177,9)=0," ",VLOOKUP($A59,Waffen!$B$4:$Q$209,9))</f>
        <v> </v>
      </c>
      <c r="U67" s="505"/>
      <c r="V67" s="351"/>
      <c r="W67" s="509" t="str">
        <f>IF(K67=" "," ",IF(AI53="GESCHOSS1",0+V63,IF(AND(AI53="+1",$D59=TRUE),0+M63+Q63+V63,0+M63+Q63+V63)))</f>
        <v> </v>
      </c>
      <c r="X67" s="509"/>
      <c r="Y67" s="510"/>
      <c r="Z67" s="129"/>
      <c r="AA67" s="509" t="str">
        <f>IF(O57=0," ",IF(K67=" "," ",IF(AI53="Geschoss1",0+AA63,IF(AND(AI53="+1",$D59=TRUE),0+M63+Q63+AA63,0+M63+Q63+AA63))))</f>
        <v> </v>
      </c>
      <c r="AB67" s="516"/>
      <c r="AC67" s="528" t="str">
        <f>IF(VLOOKUP($A59,Waffen!$B$4:$Q$200,13)=0," ",VLOOKUP($A59,Waffen!$B$4:$Q$200,13))</f>
        <v> </v>
      </c>
      <c r="AD67" s="324"/>
      <c r="AF67" s="528" t="str">
        <f>IF(VLOOKUP($A59,Waffen!$B$4:$Q$200,14)=0," ",VLOOKUP($A59,Waffen!$B$4:$Q$200,14))</f>
        <v> </v>
      </c>
      <c r="AG67" s="324"/>
      <c r="AI67" s="528" t="str">
        <f>IF(VLOOKUP($A59,Waffen!$B$4:$Q$200,15)=0," ",VLOOKUP($A59,Waffen!$B$4:$Q$200,15))</f>
        <v> </v>
      </c>
      <c r="AJ67" s="324"/>
      <c r="AL67" s="528" t="str">
        <f>IF(VLOOKUP($A59,Waffen!$B$4:$Q$200,16)=0," ",VLOOKUP($A59,Waffen!$B$4:$Q$200,16))</f>
        <v> </v>
      </c>
      <c r="AM67" s="324"/>
    </row>
    <row r="68" spans="1:28" s="21" customFormat="1" ht="15" customHeight="1">
      <c r="A68" s="81">
        <f>IF(Waffenbogen!K70=" "," ",IF(AI53="GESCHOSS",VLOOKUP($A59,Waffen!$B$4:$Q$209,7),IF(AI53="GESCHOSS1",VLOOKUP($A59,Waffen!$B$4:$Q$209,7),IF(AND(AI53="JA",D59=TRUE,$AN$12=-2),VLOOKUP($A59,Waffen!$B$4:$Q$209,7)-3,VLOOKUP($A59,Waffen!$B$4:$Q$209,7)))))</f>
        <v>7</v>
      </c>
      <c r="B68" s="520" t="str">
        <f>IF(K70=" "," ","INITATIVE BEIHÄNDIG")</f>
        <v>INITATIVE BEIHÄNDIG</v>
      </c>
      <c r="C68" s="521"/>
      <c r="D68" s="521"/>
      <c r="E68" s="521"/>
      <c r="F68" s="521"/>
      <c r="G68" s="521"/>
      <c r="H68" s="521"/>
      <c r="I68" s="521"/>
      <c r="J68" s="521"/>
      <c r="K68" s="169" t="str">
        <f>IF(K70=" "," ","SCHADEN K-M BEIDHÄNDIG")</f>
        <v>SCHADEN K-M BEIDHÄNDIG</v>
      </c>
      <c r="L68" s="132"/>
      <c r="M68" s="132"/>
      <c r="N68" s="147"/>
      <c r="O68" s="147"/>
      <c r="P68" s="144"/>
      <c r="Q68" s="144"/>
      <c r="R68" s="133"/>
      <c r="S68" s="148"/>
      <c r="T68" s="169" t="str">
        <f>IF(T70=" "," ","SCHADEN G BEIDHÄNDIG")</f>
        <v>SCHADEN G BEIDHÄNDIG</v>
      </c>
      <c r="U68" s="132"/>
      <c r="V68" s="132"/>
      <c r="W68" s="147"/>
      <c r="X68" s="147"/>
      <c r="Y68" s="144"/>
      <c r="Z68" s="144"/>
      <c r="AA68" s="133"/>
      <c r="AB68" s="148"/>
    </row>
    <row r="69" spans="2:28" s="21" customFormat="1" ht="14.25" customHeight="1">
      <c r="B69" s="138" t="str">
        <f>IF(K70=" "," ",IF(AI53="GESCHOSS"," ",IF(AI53="GESCHOSS1"," ","SCHLAG")))</f>
        <v>SCHLAG</v>
      </c>
      <c r="C69" s="139"/>
      <c r="D69" s="139"/>
      <c r="E69" s="139" t="str">
        <f>IF(K70=" "," ",IF(AC67=" "," ","WURF"))</f>
        <v> </v>
      </c>
      <c r="F69" s="139"/>
      <c r="G69" s="139"/>
      <c r="H69" s="139" t="str">
        <f>IF(K70=" "," ",IF(O57=0," ","BES."))</f>
        <v>BES.</v>
      </c>
      <c r="J69" s="87"/>
      <c r="K69" s="498" t="str">
        <f>IF(K70=" "," ","BASIS")</f>
        <v>BASIS</v>
      </c>
      <c r="L69" s="345"/>
      <c r="M69" s="345"/>
      <c r="N69" s="499" t="str">
        <f>IF(K70=" "," ","NORMAL")</f>
        <v>NORMAL</v>
      </c>
      <c r="O69" s="499"/>
      <c r="P69" s="499"/>
      <c r="Q69" s="139"/>
      <c r="R69" s="499" t="str">
        <f>IF(R70=" "," ","BES.")</f>
        <v>BES.</v>
      </c>
      <c r="S69" s="346"/>
      <c r="T69" s="498" t="str">
        <f>IF(K70=" "," ","BASIS")</f>
        <v>BASIS</v>
      </c>
      <c r="U69" s="345"/>
      <c r="V69" s="345"/>
      <c r="W69" s="499" t="str">
        <f>IF(K70=" "," ","NORMAL")</f>
        <v>NORMAL</v>
      </c>
      <c r="X69" s="499"/>
      <c r="Y69" s="499"/>
      <c r="Z69" s="139"/>
      <c r="AA69" s="499" t="str">
        <f>IF(AA70=" "," ","BES.")</f>
        <v>BES.</v>
      </c>
      <c r="AB69" s="346"/>
    </row>
    <row r="70" spans="1:39" s="130" customFormat="1" ht="12.75">
      <c r="A70" s="155">
        <f>IF($B59=TRUE,0,$AN$12)</f>
        <v>0</v>
      </c>
      <c r="B70" s="157">
        <f>IF(B69=" "," ",IF((A68-(IF(V62=" ",0,(IF(V62=" ",0,V62)))))&lt;=0,0,A68-(IF(V62=" ",0,V62))))</f>
        <v>6</v>
      </c>
      <c r="C70" s="502">
        <f>IF(AI53="GESCHOSS"," ",IF(AI53="GESCHOSS1"," ",IF(K70=" "," ",(IF(R62=" "," ",R62-(2*R62))))))</f>
        <v>-3</v>
      </c>
      <c r="D70" s="503"/>
      <c r="E70" s="157" t="str">
        <f>IF(AND(K70&lt;&gt;" ",AC67&lt;&gt;" "),IF((A68-(IF(V62=" ",0,V62)))&lt;=0,0,A68-(IF(V62=" ",0,V62)))," ")</f>
        <v> </v>
      </c>
      <c r="F70" s="502" t="str">
        <f>IF(K70=" "," ",IF(AC67=" "," ",(IF(R62=" "," ",R62-(2*R62)))))</f>
        <v> </v>
      </c>
      <c r="G70" s="503"/>
      <c r="H70" s="157">
        <f>IF(O57=0," ",IF(K70=" "," ",IF((A68-(IF(V62=" ",0,V62)))&lt;=0,0,A68-(IF(V62=" ",0,V62)))))</f>
        <v>6</v>
      </c>
      <c r="I70" s="506">
        <f>IF(K70=" "," ",IF(AND(O57=0,R62=" ")," ",(IF(R62=" "," ",R62-(2*R62)))))</f>
        <v>-3</v>
      </c>
      <c r="J70" s="507"/>
      <c r="K70" s="504" t="str">
        <f>IF(IF(VLOOKUP(A59,Waffen!$B$4:$M$177,10)=0,0,VLOOKUP($A59,Waffen!$B$4:$Q$209,10))=0," ",VLOOKUP($A59,Waffen!$B$4:$Q$209,10))</f>
        <v>1W10</v>
      </c>
      <c r="L70" s="505"/>
      <c r="M70" s="351"/>
      <c r="N70" s="500">
        <f>IF(K70=" "," ",IF(AI53="GESCHOSS1",0+V63,IF(AND(AI53="+1",$D59=TRUE),0+M63+Q63+V63+1,0+M63+Q63+V63)))</f>
        <v>4</v>
      </c>
      <c r="O70" s="500"/>
      <c r="P70" s="501"/>
      <c r="Q70" s="129"/>
      <c r="R70" s="500">
        <f>IF(K70=" "," ",IF(AI53="GESCHOSS1",0+AA63,IF(AND(AI53="+1",$D59=TRUE),0+M63+Q63+AA63+1,0+M63+Q63+AA63)))</f>
        <v>7</v>
      </c>
      <c r="S70" s="508"/>
      <c r="T70" s="504" t="str">
        <f>IF(IF(AI53="NEIN",0,VLOOKUP($A59,Waffen!$B$4:$Q$209,11))=0," ",VLOOKUP($A59,Waffen!$B$4:$Q$209,11))</f>
        <v>3W6</v>
      </c>
      <c r="U70" s="505"/>
      <c r="V70" s="351"/>
      <c r="W70" s="500">
        <f>IF(K70=" "," ",IF(AI53="GESCHOSS1",0+V63,IF(AND(AI53="+1",$D59=TRUE),0+M63+Q63+V63+1,0+M63+Q63+V63)))</f>
        <v>4</v>
      </c>
      <c r="X70" s="500"/>
      <c r="Y70" s="501"/>
      <c r="Z70" s="129"/>
      <c r="AA70" s="500">
        <f>IF(K70=" "," ",IF(AI53="GESCHOSS1",0+AA63,IF(AND(AI53="+1",$D59=TRUE),0+M63+Q63+AA63+1,0+M63+Q63+AA63)))</f>
        <v>7</v>
      </c>
      <c r="AB70" s="508"/>
      <c r="AE70" s="531"/>
      <c r="AF70" s="531"/>
      <c r="AG70" s="531"/>
      <c r="AH70" s="531"/>
      <c r="AK70" s="79"/>
      <c r="AL70" s="79"/>
      <c r="AM70" s="79"/>
    </row>
    <row r="71" s="130" customFormat="1" ht="10.5"/>
    <row r="72" spans="1:39" ht="14.25" customHeight="1">
      <c r="A72" s="65"/>
      <c r="B72" s="154"/>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row>
    <row r="73" spans="1:40" ht="12.75">
      <c r="A73" s="522" t="s">
        <v>1808</v>
      </c>
      <c r="B73" s="522"/>
      <c r="C73" s="522"/>
      <c r="D73" s="522"/>
      <c r="E73" s="522"/>
      <c r="F73" s="522"/>
      <c r="G73" s="522"/>
      <c r="H73" s="522"/>
      <c r="I73" s="522"/>
      <c r="J73" s="522"/>
      <c r="K73" s="522"/>
      <c r="L73" s="522"/>
      <c r="M73" s="522"/>
      <c r="N73" s="522"/>
      <c r="O73" s="522"/>
      <c r="P73" s="522"/>
      <c r="Q73" s="522"/>
      <c r="R73" s="522"/>
      <c r="S73" s="522"/>
      <c r="T73" s="522"/>
      <c r="U73" s="522"/>
      <c r="V73" s="522"/>
      <c r="AC73" s="297" t="s">
        <v>1708</v>
      </c>
      <c r="AD73" s="281"/>
      <c r="AE73" s="281"/>
      <c r="AF73" s="281"/>
      <c r="AG73" s="281"/>
      <c r="AH73" s="281"/>
      <c r="AI73" s="535" t="str">
        <f>VLOOKUP($A79,Waffen!$B$4:$Q$209,12)</f>
        <v>NEIN</v>
      </c>
      <c r="AJ73" s="535"/>
      <c r="AK73" s="536"/>
      <c r="AL73" s="536"/>
      <c r="AM73" s="536"/>
      <c r="AN73" s="536"/>
    </row>
    <row r="74" spans="1:29" ht="3" customHeight="1">
      <c r="A74" s="143"/>
      <c r="B74" s="143"/>
      <c r="C74" s="143"/>
      <c r="D74" s="143"/>
      <c r="E74" s="143"/>
      <c r="F74" s="143"/>
      <c r="G74" s="143"/>
      <c r="H74" s="143"/>
      <c r="I74" s="143"/>
      <c r="J74" s="143"/>
      <c r="K74" s="143"/>
      <c r="L74" s="143"/>
      <c r="M74" s="143"/>
      <c r="N74" s="143"/>
      <c r="O74" s="143"/>
      <c r="P74" s="143"/>
      <c r="Q74" s="143"/>
      <c r="R74" s="143"/>
      <c r="S74" s="143"/>
      <c r="T74" s="143"/>
      <c r="U74" s="143"/>
      <c r="V74" s="143"/>
      <c r="AC74" s="130"/>
    </row>
    <row r="75" spans="1:34" ht="12.75">
      <c r="A75" s="16" t="s">
        <v>1710</v>
      </c>
      <c r="B75" s="523" t="str">
        <f>VLOOKUP($A79,Waffen!$B$4:$Q$209,2)</f>
        <v>Dolch</v>
      </c>
      <c r="C75" s="524"/>
      <c r="D75" s="524"/>
      <c r="E75" s="524"/>
      <c r="F75" s="524"/>
      <c r="G75" s="524"/>
      <c r="H75" s="524"/>
      <c r="I75" s="524"/>
      <c r="J75" s="524"/>
      <c r="K75" s="524"/>
      <c r="L75" s="524"/>
      <c r="M75" s="524"/>
      <c r="N75" s="524"/>
      <c r="O75" s="524"/>
      <c r="P75" s="524"/>
      <c r="Q75" s="525"/>
      <c r="S75" s="134" t="s">
        <v>1711</v>
      </c>
      <c r="Z75" s="523" t="str">
        <f>VLOOKUP($A79,Waffen!$B$4:$Q$209,5)</f>
        <v>S</v>
      </c>
      <c r="AA75" s="525"/>
      <c r="AC75" s="73" t="s">
        <v>889</v>
      </c>
      <c r="AG75" s="523" t="str">
        <f>VLOOKUP($A79,Waffen!$B$4:$Q$209,4)</f>
        <v>K</v>
      </c>
      <c r="AH75" s="525"/>
    </row>
    <row r="76" spans="1:34" ht="3" customHeight="1">
      <c r="A76" s="16"/>
      <c r="B76" s="64"/>
      <c r="C76" s="64"/>
      <c r="D76" s="64"/>
      <c r="E76" s="64"/>
      <c r="F76" s="64"/>
      <c r="G76" s="64"/>
      <c r="H76" s="64"/>
      <c r="I76" s="64"/>
      <c r="J76" s="64"/>
      <c r="K76" s="64"/>
      <c r="L76" s="64"/>
      <c r="M76" s="64"/>
      <c r="N76" s="64"/>
      <c r="O76" s="64"/>
      <c r="P76" s="64"/>
      <c r="Q76" s="64"/>
      <c r="S76" s="134"/>
      <c r="Z76" s="64"/>
      <c r="AA76" s="64"/>
      <c r="AC76" s="73"/>
      <c r="AG76" s="64"/>
      <c r="AH76" s="64"/>
    </row>
    <row r="77" spans="1:40" ht="12.75">
      <c r="A77" s="73" t="s">
        <v>1709</v>
      </c>
      <c r="E77" s="517"/>
      <c r="F77" s="518"/>
      <c r="H77" s="73" t="s">
        <v>236</v>
      </c>
      <c r="O77" s="517"/>
      <c r="P77" s="518"/>
      <c r="R77" s="73" t="s">
        <v>1707</v>
      </c>
      <c r="T77" s="523"/>
      <c r="U77" s="375"/>
      <c r="V77" s="375"/>
      <c r="W77" s="375"/>
      <c r="X77" s="375"/>
      <c r="Y77" s="375"/>
      <c r="Z77" s="375"/>
      <c r="AA77" s="375"/>
      <c r="AB77" s="375"/>
      <c r="AC77" s="375"/>
      <c r="AD77" s="375"/>
      <c r="AE77" s="375"/>
      <c r="AF77" s="375"/>
      <c r="AG77" s="375"/>
      <c r="AH77" s="375"/>
      <c r="AI77" s="375"/>
      <c r="AJ77" s="375"/>
      <c r="AK77" s="375"/>
      <c r="AL77" s="375"/>
      <c r="AM77" s="375"/>
      <c r="AN77" s="376"/>
    </row>
    <row r="78" spans="1:16" ht="1.5" customHeight="1">
      <c r="A78" s="73"/>
      <c r="H78" s="73"/>
      <c r="I78" s="125" t="b">
        <v>0</v>
      </c>
      <c r="P78" s="73"/>
    </row>
    <row r="79" spans="1:4" s="125" customFormat="1" ht="1.5" customHeight="1">
      <c r="A79" s="135">
        <v>21</v>
      </c>
      <c r="B79" s="125" t="b">
        <v>1</v>
      </c>
      <c r="C79" s="125" t="b">
        <v>0</v>
      </c>
      <c r="D79" s="125" t="b">
        <v>0</v>
      </c>
    </row>
    <row r="80" ht="14.25" customHeight="1">
      <c r="A80" s="127" t="s">
        <v>724</v>
      </c>
    </row>
    <row r="81" spans="1:39" s="21" customFormat="1" ht="15" customHeight="1">
      <c r="A81" s="81">
        <f>MIN('BOGEN "ALLE"'!$AP$22:$AR$22)-A90</f>
        <v>15</v>
      </c>
      <c r="B81" s="138" t="str">
        <f>IF(AI73="GESCHOSS"," ",IF(AI73="GESCHOSS1"," ","SCHLAG"))</f>
        <v>SCHLAG</v>
      </c>
      <c r="C81" s="139"/>
      <c r="D81" s="139"/>
      <c r="E81" s="139" t="str">
        <f>IF(AC87=" "," ","WURF")</f>
        <v>WURF</v>
      </c>
      <c r="F81" s="139"/>
      <c r="G81" s="139"/>
      <c r="H81" s="139"/>
      <c r="I81" s="139" t="str">
        <f>IF(O77=0," ","BES.")</f>
        <v> </v>
      </c>
      <c r="J81" s="168"/>
      <c r="K81" s="532" t="str">
        <f>IF(K82=" "," ","MOD SPEZ.")</f>
        <v> </v>
      </c>
      <c r="L81" s="533"/>
      <c r="M81" s="533"/>
      <c r="N81" s="534"/>
      <c r="O81" s="532" t="str">
        <f>IF(AND(O82=" ",Q82=" ")," ","MOD.ST")</f>
        <v>MOD.ST</v>
      </c>
      <c r="P81" s="533"/>
      <c r="Q81" s="534"/>
      <c r="R81" s="532" t="str">
        <f>IF(R82=" "," ","MOD GE")</f>
        <v>MOD GE</v>
      </c>
      <c r="S81" s="533"/>
      <c r="T81" s="533"/>
      <c r="U81" s="534"/>
      <c r="V81" s="532" t="str">
        <f>IF(E77=0," ","MOD. WAFFE")</f>
        <v> </v>
      </c>
      <c r="W81" s="533"/>
      <c r="X81" s="533"/>
      <c r="Y81" s="533"/>
      <c r="Z81" s="534"/>
      <c r="AA81" s="532" t="str">
        <f>IF(O77=0," ","MOD WAFFE SPEZIELL")</f>
        <v> </v>
      </c>
      <c r="AB81" s="533"/>
      <c r="AC81" s="533"/>
      <c r="AD81" s="533"/>
      <c r="AE81" s="533"/>
      <c r="AF81" s="533"/>
      <c r="AG81" s="533"/>
      <c r="AH81" s="533"/>
      <c r="AI81" s="533"/>
      <c r="AJ81" s="533"/>
      <c r="AK81" s="533"/>
      <c r="AL81" s="533"/>
      <c r="AM81" s="534"/>
    </row>
    <row r="82" spans="2:39" s="21" customFormat="1" ht="15" customHeight="1">
      <c r="B82" s="142">
        <f>IF(AI73="GESCHOSS"," ",IF(AI73="Geschoss1"," ",IF(A79=1," ",A81-(IF(K82=" ",0,K82))-(IF(O82=" ",0,O82))-(IF(V82=" ",0,V82)))))</f>
        <v>13</v>
      </c>
      <c r="C82" s="99"/>
      <c r="D82" s="128"/>
      <c r="E82" s="136">
        <f>IF(A79=1," ",IF(AC87=" "," ",IF(AI73="GESCHOSS1",A81-(IF(K82=" ",0,K82))-(IF(R82=" ",0,R82))-(IF(V82=" ","0",V82)),A81-(IF(K82=" ",0,K82))-(IF(O82=" ",0,O82))-(IF(R82=" ",0,R82))-(IF(V82=" ","0",V82)))))</f>
        <v>10</v>
      </c>
      <c r="F82" s="99"/>
      <c r="G82" s="99"/>
      <c r="H82" s="128"/>
      <c r="I82" s="141" t="str">
        <f>IF(O77=0," ",IF(AI73="Geschoss1",A81-(IF(O82=" ",0,O82))-(IF(AA82=" ",0,AA82))-(IF(AND(AC87&lt;&gt;" ",R82&lt;&gt;" "),R82,0)),A81-(IF(K82=" ",0,K82))-(IF(O82=" ",0,O82))-(IF(AA82=" ",0,AA82))-(IF(AND(AC87&lt;&gt;" ",R82&lt;&gt;" "),R82,0))))</f>
        <v> </v>
      </c>
      <c r="J82" s="126"/>
      <c r="K82" s="515" t="str">
        <f>IF($AN$12&lt;-2," ",IF($C79=TRUE,"+1"," "))</f>
        <v> </v>
      </c>
      <c r="L82" s="537"/>
      <c r="M82" s="509" t="str">
        <f>IF($AN$12&lt;-2," ",IF($C79=TRUE,"+2"," "))</f>
        <v> </v>
      </c>
      <c r="N82" s="514"/>
      <c r="O82" s="167" t="str">
        <f>IF('BOGEN "ALLE"'!$G$26="NORMAL"," ",'BOGEN "ALLE"'!$G$26)</f>
        <v>+2</v>
      </c>
      <c r="P82" s="136"/>
      <c r="Q82" s="166" t="str">
        <f>IF('BOGEN "ALLE"'!$K$26="KEINE"," ",'BOGEN "ALLE"'!$K$26)</f>
        <v>+3</v>
      </c>
      <c r="R82" s="515" t="str">
        <f>IF('BOGEN "ALLE"'!$K$30="KEINE"," ",'BOGEN "ALLE"'!$K$30)</f>
        <v>+3</v>
      </c>
      <c r="S82" s="509"/>
      <c r="T82" s="509"/>
      <c r="U82" s="516"/>
      <c r="V82" s="515" t="str">
        <f>IF(E77=""," ",E77)</f>
        <v> </v>
      </c>
      <c r="W82" s="509"/>
      <c r="X82" s="509"/>
      <c r="Y82" s="509"/>
      <c r="Z82" s="516"/>
      <c r="AA82" s="526" t="str">
        <f>IF(O77=0," ",O77)</f>
        <v> </v>
      </c>
      <c r="AB82" s="500"/>
      <c r="AC82" s="527" t="str">
        <f>IF(O77=0," ","gg.")</f>
        <v> </v>
      </c>
      <c r="AD82" s="527"/>
      <c r="AE82" s="509" t="str">
        <f>IF(T77=0," ",T77)</f>
        <v> </v>
      </c>
      <c r="AF82" s="529"/>
      <c r="AG82" s="529"/>
      <c r="AH82" s="529"/>
      <c r="AI82" s="529"/>
      <c r="AJ82" s="529"/>
      <c r="AK82" s="529"/>
      <c r="AL82" s="529"/>
      <c r="AM82" s="530"/>
    </row>
    <row r="83" spans="2:39" s="21" customFormat="1" ht="4.5" customHeight="1">
      <c r="B83" s="149"/>
      <c r="C83" s="86"/>
      <c r="D83" s="139"/>
      <c r="E83" s="149"/>
      <c r="F83" s="86"/>
      <c r="G83" s="86"/>
      <c r="H83" s="139"/>
      <c r="I83" s="150"/>
      <c r="J83" s="86"/>
      <c r="K83" s="511"/>
      <c r="L83" s="511"/>
      <c r="M83" s="511">
        <f>IF(M82=" ",0,M82)</f>
        <v>0</v>
      </c>
      <c r="N83" s="511"/>
      <c r="O83" s="299"/>
      <c r="P83" s="300"/>
      <c r="Q83" s="298" t="str">
        <f>IF(Q82=" ",0,Q82)</f>
        <v>+3</v>
      </c>
      <c r="R83" s="299"/>
      <c r="S83" s="299"/>
      <c r="T83" s="299"/>
      <c r="U83" s="299"/>
      <c r="V83" s="511">
        <f>IF(V82=" ",0,V82)</f>
        <v>0</v>
      </c>
      <c r="W83" s="511"/>
      <c r="X83" s="511"/>
      <c r="Y83" s="511"/>
      <c r="Z83" s="511"/>
      <c r="AA83" s="519">
        <f>IF(AA82=" ",0,AA82)</f>
        <v>0</v>
      </c>
      <c r="AB83" s="519"/>
      <c r="AC83" s="301"/>
      <c r="AD83" s="151"/>
      <c r="AE83" s="152"/>
      <c r="AF83" s="153"/>
      <c r="AG83" s="153"/>
      <c r="AH83" s="153"/>
      <c r="AI83" s="153"/>
      <c r="AJ83" s="153"/>
      <c r="AK83" s="153"/>
      <c r="AL83" s="153"/>
      <c r="AM83" s="148"/>
    </row>
    <row r="84" spans="1:49" s="21" customFormat="1" ht="14.25" customHeight="1">
      <c r="A84" s="127" t="s">
        <v>235</v>
      </c>
      <c r="B84" s="131"/>
      <c r="C84" s="80"/>
      <c r="D84" s="146"/>
      <c r="E84" s="131"/>
      <c r="F84" s="80"/>
      <c r="G84" s="80"/>
      <c r="H84" s="146"/>
      <c r="I84" s="147"/>
      <c r="J84" s="80"/>
      <c r="K84" s="132"/>
      <c r="L84" s="132"/>
      <c r="M84" s="132"/>
      <c r="N84" s="132"/>
      <c r="O84" s="131"/>
      <c r="P84" s="131"/>
      <c r="Q84" s="131"/>
      <c r="R84" s="131"/>
      <c r="S84" s="131"/>
      <c r="T84" s="131"/>
      <c r="U84" s="131"/>
      <c r="V84" s="132"/>
      <c r="W84" s="132"/>
      <c r="X84" s="132"/>
      <c r="Y84" s="132"/>
      <c r="Z84" s="132"/>
      <c r="AA84" s="147"/>
      <c r="AB84" s="147"/>
      <c r="AC84" s="144"/>
      <c r="AD84" s="144"/>
      <c r="AE84" s="133"/>
      <c r="AF84" s="148"/>
      <c r="AG84" s="148"/>
      <c r="AH84" s="148"/>
      <c r="AI84" s="148"/>
      <c r="AJ84" s="148"/>
      <c r="AK84" s="148"/>
      <c r="AL84" s="148"/>
      <c r="AM84" s="148"/>
      <c r="AO84" s="146"/>
      <c r="AP84" s="146"/>
      <c r="AQ84" s="146"/>
      <c r="AR84" s="146"/>
      <c r="AS84" s="146"/>
      <c r="AT84" s="146"/>
      <c r="AU84" s="146"/>
      <c r="AV84" s="146"/>
      <c r="AW84" s="146"/>
    </row>
    <row r="85" spans="1:49" s="21" customFormat="1" ht="15" customHeight="1">
      <c r="A85" s="81">
        <f>IF(K87=" "," ",VLOOKUP($A79,Waffen!$B$4:$Q$209,6))</f>
        <v>1</v>
      </c>
      <c r="B85" s="496" t="str">
        <f>IF(K87=" "," ","INITATIVE EINHÄNDIG")</f>
        <v>INITATIVE EINHÄNDIG</v>
      </c>
      <c r="C85" s="497"/>
      <c r="D85" s="497"/>
      <c r="E85" s="497"/>
      <c r="F85" s="497"/>
      <c r="G85" s="497"/>
      <c r="H85" s="497"/>
      <c r="I85" s="497"/>
      <c r="J85" s="497"/>
      <c r="K85" s="170" t="str">
        <f>IF(K87=" "," ","SCHADEN K-M EINHÄNDIG")</f>
        <v>SCHADEN K-M EINHÄNDIG</v>
      </c>
      <c r="L85" s="136"/>
      <c r="M85" s="136"/>
      <c r="N85" s="136"/>
      <c r="O85" s="136"/>
      <c r="P85" s="136"/>
      <c r="Q85" s="136"/>
      <c r="R85" s="136"/>
      <c r="S85" s="136"/>
      <c r="T85" s="170" t="str">
        <f>IF(K87=" "," ","SCHADEN G EINHÄNDIG")</f>
        <v>SCHADEN G EINHÄNDIG</v>
      </c>
      <c r="U85" s="137"/>
      <c r="V85" s="137"/>
      <c r="W85" s="137"/>
      <c r="X85" s="137"/>
      <c r="Y85" s="137"/>
      <c r="Z85" s="137"/>
      <c r="AA85" s="136"/>
      <c r="AB85" s="136"/>
      <c r="AC85" s="158" t="str">
        <f>IF(AC87=" "," ","SCHUSSFOLGE und REICHWEITEN")</f>
        <v>SCHUSSFOLGE und REICHWEITEN</v>
      </c>
      <c r="AK85" s="148"/>
      <c r="AL85" s="148"/>
      <c r="AM85" s="148"/>
      <c r="AO85" s="146"/>
      <c r="AP85" s="80"/>
      <c r="AQ85" s="80"/>
      <c r="AR85" s="146"/>
      <c r="AS85" s="146"/>
      <c r="AT85" s="146"/>
      <c r="AU85" s="146"/>
      <c r="AV85" s="146"/>
      <c r="AW85" s="80"/>
    </row>
    <row r="86" spans="2:49" s="21" customFormat="1" ht="15" customHeight="1">
      <c r="B86" s="138" t="str">
        <f>IF(AI73="GESCHOSS"," ",IF(AI73="GESCHOSS1"," ",IF(K87=" "," ","SCHLAG")))</f>
        <v>SCHLAG</v>
      </c>
      <c r="C86" s="139"/>
      <c r="D86" s="139"/>
      <c r="E86" s="139" t="str">
        <f>IF(AC87=" "," ",IF(K87=" "," ","WURF"))</f>
        <v>WURF</v>
      </c>
      <c r="F86" s="139"/>
      <c r="G86" s="139"/>
      <c r="H86" s="139" t="str">
        <f>IF(O77=0," ",IF(K87=" "," ","BES."))</f>
        <v> </v>
      </c>
      <c r="I86" s="86"/>
      <c r="J86" s="140"/>
      <c r="K86" s="498" t="str">
        <f>IF(K87=" "," ","BASIS")</f>
        <v>BASIS</v>
      </c>
      <c r="L86" s="345"/>
      <c r="M86" s="345"/>
      <c r="N86" s="499" t="str">
        <f>IF(K87=" "," ","NORMAL")</f>
        <v>NORMAL</v>
      </c>
      <c r="O86" s="499"/>
      <c r="P86" s="499"/>
      <c r="Q86" s="139"/>
      <c r="R86" s="499" t="str">
        <f>IF(R87=" "," ","BES.")</f>
        <v> </v>
      </c>
      <c r="S86" s="346"/>
      <c r="T86" s="498" t="str">
        <f>IF(K87=" "," ","BASIS")</f>
        <v>BASIS</v>
      </c>
      <c r="U86" s="345"/>
      <c r="V86" s="345"/>
      <c r="W86" s="499" t="str">
        <f>IF(K87=" "," ","NORMAL")</f>
        <v>NORMAL</v>
      </c>
      <c r="X86" s="499"/>
      <c r="Y86" s="499"/>
      <c r="Z86" s="139"/>
      <c r="AA86" s="499" t="str">
        <f>IF(AA87=" "," ","BES.")</f>
        <v> </v>
      </c>
      <c r="AB86" s="346"/>
      <c r="AC86" s="532" t="str">
        <f>IF(AC87=" "," ","SF")</f>
        <v>SF</v>
      </c>
      <c r="AD86" s="346"/>
      <c r="AF86" s="532" t="str">
        <f>IF(AF87=" "," ","K")</f>
        <v>K</v>
      </c>
      <c r="AG86" s="346"/>
      <c r="AI86" s="532" t="str">
        <f>IF(AI87=" "," ","M")</f>
        <v>M</v>
      </c>
      <c r="AJ86" s="346"/>
      <c r="AL86" s="532" t="str">
        <f>IF(AL87=" "," ","G")</f>
        <v>G</v>
      </c>
      <c r="AM86" s="346"/>
      <c r="AO86" s="61"/>
      <c r="AP86" s="145"/>
      <c r="AQ86" s="80"/>
      <c r="AR86" s="146"/>
      <c r="AS86" s="146"/>
      <c r="AT86" s="146"/>
      <c r="AU86" s="146"/>
      <c r="AV86" s="146"/>
      <c r="AW86" s="146"/>
    </row>
    <row r="87" spans="2:39" s="21" customFormat="1" ht="15" customHeight="1">
      <c r="B87" s="157">
        <f>IF(AI73="GESCHOSS"," ",IF(K87=" "," ",IF((A85-(IF(V82=" ",0,V82)))&lt;=0,0,A85-(IF(V82=" ",0,V82)))))</f>
        <v>1</v>
      </c>
      <c r="C87" s="502">
        <f>IF(AI73&lt;&gt;"GESCHOSS",IF(K87=" "," ",(IF(R82=" "," ",R82-(2*R82))))," ")</f>
        <v>-3</v>
      </c>
      <c r="D87" s="538"/>
      <c r="E87" s="157">
        <f>IF(AC87=" "," ",IF(K87=" "," ",IF((A85-IF(V82=" ",0,V82))&lt;=0,0,A85-(IF(V82=" ",0,V82)))))</f>
        <v>1</v>
      </c>
      <c r="F87" s="502">
        <f>IF(K87=" "," ",IF(AC87=" "," ",(IF(R82=" "," ",R82-(2*R82)))))</f>
        <v>-3</v>
      </c>
      <c r="G87" s="538"/>
      <c r="H87" s="156" t="str">
        <f>IF(O77=0," ",IF(K87=" "," ",IF((A85-(IF(AA82=" ",0,AA82)))&lt;=0,0,A85-(IF(AA82=" ",0,AA82)))))</f>
        <v> </v>
      </c>
      <c r="I87" s="502" t="str">
        <f>IF(O77=0," ",IF(K87=" "," ",(IF(R82=" "," ",R82-(2*R82)))))</f>
        <v> </v>
      </c>
      <c r="J87" s="503"/>
      <c r="K87" s="512" t="str">
        <f>IF(VLOOKUP(A79,Waffen!$B$4:$M$177,8)=0," ",VLOOKUP($A79,Waffen!$B$4:$Q$209,8))</f>
        <v>1W4</v>
      </c>
      <c r="L87" s="513"/>
      <c r="M87" s="510"/>
      <c r="N87" s="509">
        <f>IF(K87=" "," ",IF(AI73="GESCHOSS1",0+V83,IF(AND(AI73="+1",$D79=TRUE),0+M83+Q83+V83,0+M83+Q83+V83)))</f>
        <v>3</v>
      </c>
      <c r="O87" s="509"/>
      <c r="P87" s="509"/>
      <c r="Q87" s="129"/>
      <c r="R87" s="509" t="str">
        <f>IF(O77=0," ",IF(K87=" "," ",IF(AI73="Geschoss1",0+AA83,IF(AND(AI73="+1",$D79=TRUE),0+M83+Q83+AA83,0+M83+Q83+AA83))))</f>
        <v> </v>
      </c>
      <c r="S87" s="516"/>
      <c r="T87" s="504" t="str">
        <f>IF(VLOOKUP(A79,Waffen!$B$4:$M$177,9)=0," ",VLOOKUP($A79,Waffen!$B$4:$Q$209,9))</f>
        <v>1W3</v>
      </c>
      <c r="U87" s="505"/>
      <c r="V87" s="351"/>
      <c r="W87" s="509">
        <f>IF(K87=" "," ",IF(AI73="GESCHOSS1",0+V83,IF(AND(AI73="+1",$D79=TRUE),0+M83+Q83+V83,0+M83+Q83+V83)))</f>
        <v>3</v>
      </c>
      <c r="X87" s="509"/>
      <c r="Y87" s="510"/>
      <c r="Z87" s="129"/>
      <c r="AA87" s="509" t="str">
        <f>IF(O77=0," ",IF(K87=" "," ",IF(AI73="Geschoss1",0+AA83,IF(AND(AI73="+1",$D79=TRUE),0+M83+Q83+AA83,0+M83+Q83+AA83))))</f>
        <v> </v>
      </c>
      <c r="AB87" s="516"/>
      <c r="AC87" s="528" t="str">
        <f>IF(VLOOKUP($A79,Waffen!$B$4:$Q$200,13)=0," ",VLOOKUP($A79,Waffen!$B$4:$Q$200,13))</f>
        <v>2/1</v>
      </c>
      <c r="AD87" s="324"/>
      <c r="AF87" s="528" t="str">
        <f>IF(VLOOKUP($A79,Waffen!$B$4:$Q$200,14)=0," ",VLOOKUP($A79,Waffen!$B$4:$Q$200,14))</f>
        <v>1</v>
      </c>
      <c r="AG87" s="324"/>
      <c r="AI87" s="528" t="str">
        <f>IF(VLOOKUP($A79,Waffen!$B$4:$Q$200,15)=0," ",VLOOKUP($A79,Waffen!$B$4:$Q$200,15))</f>
        <v>2</v>
      </c>
      <c r="AJ87" s="324"/>
      <c r="AL87" s="528" t="str">
        <f>IF(VLOOKUP($A79,Waffen!$B$4:$Q$200,16)=0," ",VLOOKUP($A79,Waffen!$B$4:$Q$200,16))</f>
        <v>3</v>
      </c>
      <c r="AM87" s="324"/>
    </row>
    <row r="88" spans="1:28" s="21" customFormat="1" ht="15" customHeight="1">
      <c r="A88" s="81" t="str">
        <f>IF(Waffenbogen!K90=" "," ",IF(AI73="GESCHOSS",VLOOKUP($A79,Waffen!$B$4:$Q$209,7),IF(AI73="GESCHOSS1",VLOOKUP($A79,Waffen!$B$4:$Q$209,7),IF(AND(AI73="JA",D79=TRUE,$AN$12=-2),VLOOKUP($A79,Waffen!$B$4:$Q$209,7)-3,VLOOKUP($A79,Waffen!$B$4:$Q$209,7)))))</f>
        <v> </v>
      </c>
      <c r="B88" s="520" t="str">
        <f>IF(K90=" "," ","INITATIVE BEIHÄNDIG")</f>
        <v> </v>
      </c>
      <c r="C88" s="521"/>
      <c r="D88" s="521"/>
      <c r="E88" s="521"/>
      <c r="F88" s="521"/>
      <c r="G88" s="521"/>
      <c r="H88" s="521"/>
      <c r="I88" s="521"/>
      <c r="J88" s="521"/>
      <c r="K88" s="169" t="str">
        <f>IF(K90=" "," ","SCHADEN K-M BEIDHÄNDIG")</f>
        <v> </v>
      </c>
      <c r="L88" s="132"/>
      <c r="M88" s="132"/>
      <c r="N88" s="147"/>
      <c r="O88" s="147"/>
      <c r="P88" s="144"/>
      <c r="Q88" s="144"/>
      <c r="R88" s="133"/>
      <c r="S88" s="148"/>
      <c r="T88" s="169" t="str">
        <f>IF(T90=" "," ","SCHADEN G BEIDHÄNDIG")</f>
        <v> </v>
      </c>
      <c r="U88" s="132"/>
      <c r="V88" s="132"/>
      <c r="W88" s="147"/>
      <c r="X88" s="147"/>
      <c r="Y88" s="144"/>
      <c r="Z88" s="144"/>
      <c r="AA88" s="133"/>
      <c r="AB88" s="148"/>
    </row>
    <row r="89" spans="2:28" s="21" customFormat="1" ht="14.25" customHeight="1">
      <c r="B89" s="138" t="str">
        <f>IF(K90=" "," ",IF(AI73="GESCHOSS"," ",IF(AI73="GESCHOSS1"," ","SCHLAG")))</f>
        <v> </v>
      </c>
      <c r="C89" s="139"/>
      <c r="D89" s="139"/>
      <c r="E89" s="139" t="str">
        <f>IF(K90=" "," ",IF(AC87=" "," ","WURF"))</f>
        <v> </v>
      </c>
      <c r="F89" s="139"/>
      <c r="G89" s="139"/>
      <c r="H89" s="139" t="str">
        <f>IF(K90=" "," ",IF(O77=0," ","BES."))</f>
        <v> </v>
      </c>
      <c r="J89" s="87"/>
      <c r="K89" s="498" t="str">
        <f>IF(K90=" "," ","BASIS")</f>
        <v> </v>
      </c>
      <c r="L89" s="345"/>
      <c r="M89" s="345"/>
      <c r="N89" s="499" t="str">
        <f>IF(K90=" "," ","NORMAL")</f>
        <v> </v>
      </c>
      <c r="O89" s="499"/>
      <c r="P89" s="499"/>
      <c r="Q89" s="139"/>
      <c r="R89" s="499" t="str">
        <f>IF(R90=" "," ","BES.")</f>
        <v> </v>
      </c>
      <c r="S89" s="346"/>
      <c r="T89" s="498" t="str">
        <f>IF(K90=" "," ","BASIS")</f>
        <v> </v>
      </c>
      <c r="U89" s="345"/>
      <c r="V89" s="345"/>
      <c r="W89" s="499" t="str">
        <f>IF(K90=" "," ","NORMAL")</f>
        <v> </v>
      </c>
      <c r="X89" s="499"/>
      <c r="Y89" s="499"/>
      <c r="Z89" s="139"/>
      <c r="AA89" s="499" t="str">
        <f>IF(AA90=" "," ","BES.")</f>
        <v> </v>
      </c>
      <c r="AB89" s="346"/>
    </row>
    <row r="90" spans="1:39" s="130" customFormat="1" ht="12.75">
      <c r="A90" s="155">
        <f>IF($B79=TRUE,0,$AN$12)</f>
        <v>0</v>
      </c>
      <c r="B90" s="157" t="str">
        <f>IF(B89=" "," ",IF((A88-(IF(V82=" ",0,(IF(V82=" ",0,V82)))))&lt;=0,0,A88-(IF(V82=" ",0,V82))))</f>
        <v> </v>
      </c>
      <c r="C90" s="502" t="str">
        <f>IF(AI73="GESCHOSS"," ",IF(AI73="GESCHOSS1"," ",IF(K90=" "," ",(IF(R82=" "," ",R82-(2*R82))))))</f>
        <v> </v>
      </c>
      <c r="D90" s="503"/>
      <c r="E90" s="157" t="str">
        <f>IF(AND(K90&lt;&gt;" ",AC87&lt;&gt;" "),IF((A88-(IF(V82=" ",0,V82)))&lt;=0,0,A88-(IF(V82=" ",0,V82)))," ")</f>
        <v> </v>
      </c>
      <c r="F90" s="502" t="str">
        <f>IF(K90=" "," ",IF(AC87=" "," ",(IF(R82=" "," ",R82-(2*R82)))))</f>
        <v> </v>
      </c>
      <c r="G90" s="503"/>
      <c r="H90" s="157" t="str">
        <f>IF(O77=0," ",IF(K90=" "," ",IF((A88-(IF(V82=" ",0,V82)))&lt;=0,0,A88-(IF(V82=" ",0,V82)))))</f>
        <v> </v>
      </c>
      <c r="I90" s="506" t="str">
        <f>IF(K90=" "," ",IF(AND(O77=0,R82=" ")," ",(IF(R82=" "," ",R82-(2*R82)))))</f>
        <v> </v>
      </c>
      <c r="J90" s="507"/>
      <c r="K90" s="504" t="str">
        <f>IF(IF(VLOOKUP(A79,Waffen!$B$4:$M$177,10)=0,0,VLOOKUP($A79,Waffen!$B$4:$Q$209,10))=0," ",VLOOKUP($A79,Waffen!$B$4:$Q$209,10))</f>
        <v> </v>
      </c>
      <c r="L90" s="505"/>
      <c r="M90" s="351"/>
      <c r="N90" s="500" t="str">
        <f>IF(K90=" "," ",IF(AI73="GESCHOSS1",0+V83,IF(AND(AI73="+1",$D79=TRUE),0+M83+Q83+V83+1,0+M83+Q83+V83)))</f>
        <v> </v>
      </c>
      <c r="O90" s="500"/>
      <c r="P90" s="501"/>
      <c r="Q90" s="129"/>
      <c r="R90" s="500" t="str">
        <f>IF(K90=" "," ",IF(AI73="GESCHOSS1",0+AA83,IF(AND(AI73="+1",$D79=TRUE),0+M83+Q83+AA83+1,0+M83+Q83+AA83)))</f>
        <v> </v>
      </c>
      <c r="S90" s="508"/>
      <c r="T90" s="504" t="str">
        <f>IF(IF(AI73="NEIN",0,VLOOKUP($A79,Waffen!$B$4:$Q$209,11))=0," ",VLOOKUP($A79,Waffen!$B$4:$Q$209,11))</f>
        <v> </v>
      </c>
      <c r="U90" s="505"/>
      <c r="V90" s="351"/>
      <c r="W90" s="500" t="str">
        <f>IF(K90=" "," ",IF(AI73="GESCHOSS1",0+V83,IF(AND(AI73="+1",$D79=TRUE),0+M83+Q83+V83+1,0+M83+Q83+V83)))</f>
        <v> </v>
      </c>
      <c r="X90" s="500"/>
      <c r="Y90" s="501"/>
      <c r="Z90" s="129"/>
      <c r="AA90" s="500" t="str">
        <f>IF(K90=" "," ",IF(AI73="GESCHOSS1",0+AA83,IF(AND(AI73="+1",$D79=TRUE),0+M83+Q83+AA83+1,0+M83+Q83+AA83)))</f>
        <v> </v>
      </c>
      <c r="AB90" s="508"/>
      <c r="AE90" s="531"/>
      <c r="AF90" s="531"/>
      <c r="AG90" s="531"/>
      <c r="AH90" s="531"/>
      <c r="AK90" s="79"/>
      <c r="AL90" s="79"/>
      <c r="AM90" s="79"/>
    </row>
    <row r="91" s="130" customFormat="1" ht="10.5"/>
    <row r="92" spans="1:39" ht="14.25" customHeight="1">
      <c r="A92" s="65"/>
      <c r="B92" s="154"/>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row>
    <row r="93" spans="1:40" ht="12.75">
      <c r="A93" s="522" t="s">
        <v>240</v>
      </c>
      <c r="B93" s="522"/>
      <c r="C93" s="522"/>
      <c r="D93" s="522"/>
      <c r="E93" s="522"/>
      <c r="F93" s="522"/>
      <c r="G93" s="522"/>
      <c r="H93" s="522"/>
      <c r="I93" s="522"/>
      <c r="J93" s="522"/>
      <c r="K93" s="522"/>
      <c r="L93" s="522"/>
      <c r="M93" s="522"/>
      <c r="N93" s="522"/>
      <c r="O93" s="522"/>
      <c r="P93" s="522"/>
      <c r="Q93" s="522"/>
      <c r="R93" s="522"/>
      <c r="S93" s="522"/>
      <c r="T93" s="522"/>
      <c r="U93" s="522"/>
      <c r="V93" s="522"/>
      <c r="AC93" s="297" t="s">
        <v>1708</v>
      </c>
      <c r="AD93" s="281"/>
      <c r="AE93" s="281"/>
      <c r="AF93" s="281"/>
      <c r="AG93" s="281"/>
      <c r="AH93" s="281"/>
      <c r="AI93" s="535" t="str">
        <f>VLOOKUP($A99,Waffen!$B$4:$Q$209,12)</f>
        <v>GESCHOSS</v>
      </c>
      <c r="AJ93" s="535"/>
      <c r="AK93" s="536"/>
      <c r="AL93" s="536"/>
      <c r="AM93" s="536"/>
      <c r="AN93" s="536"/>
    </row>
    <row r="94" spans="1:29" ht="3" customHeight="1">
      <c r="A94" s="143"/>
      <c r="B94" s="143"/>
      <c r="C94" s="143"/>
      <c r="D94" s="143"/>
      <c r="E94" s="143"/>
      <c r="F94" s="143"/>
      <c r="G94" s="143"/>
      <c r="H94" s="143"/>
      <c r="I94" s="143"/>
      <c r="J94" s="143"/>
      <c r="K94" s="143"/>
      <c r="L94" s="143"/>
      <c r="M94" s="143"/>
      <c r="N94" s="143"/>
      <c r="O94" s="143"/>
      <c r="P94" s="143"/>
      <c r="Q94" s="143"/>
      <c r="R94" s="143"/>
      <c r="S94" s="143"/>
      <c r="T94" s="143"/>
      <c r="U94" s="143"/>
      <c r="V94" s="143"/>
      <c r="AC94" s="130"/>
    </row>
    <row r="95" spans="1:34" ht="12.75">
      <c r="A95" s="16" t="s">
        <v>1710</v>
      </c>
      <c r="B95" s="523" t="str">
        <f>VLOOKUP($A99,Waffen!$B$4:$Q$209,2)</f>
        <v>Shuriken</v>
      </c>
      <c r="C95" s="524"/>
      <c r="D95" s="524"/>
      <c r="E95" s="524"/>
      <c r="F95" s="524"/>
      <c r="G95" s="524"/>
      <c r="H95" s="524"/>
      <c r="I95" s="524"/>
      <c r="J95" s="524"/>
      <c r="K95" s="524"/>
      <c r="L95" s="524"/>
      <c r="M95" s="524"/>
      <c r="N95" s="524"/>
      <c r="O95" s="524"/>
      <c r="P95" s="524"/>
      <c r="Q95" s="525"/>
      <c r="S95" s="134" t="s">
        <v>1711</v>
      </c>
      <c r="Z95" s="523" t="str">
        <f>VLOOKUP($A99,Waffen!$B$4:$Q$209,5)</f>
        <v>S</v>
      </c>
      <c r="AA95" s="525"/>
      <c r="AC95" s="73" t="s">
        <v>889</v>
      </c>
      <c r="AG95" s="523" t="str">
        <f>VLOOKUP($A99,Waffen!$B$4:$Q$209,4)</f>
        <v>K</v>
      </c>
      <c r="AH95" s="525"/>
    </row>
    <row r="96" spans="1:34" ht="3" customHeight="1">
      <c r="A96" s="16"/>
      <c r="B96" s="64"/>
      <c r="C96" s="64"/>
      <c r="D96" s="64"/>
      <c r="E96" s="64"/>
      <c r="F96" s="64"/>
      <c r="G96" s="64"/>
      <c r="H96" s="64"/>
      <c r="I96" s="64"/>
      <c r="J96" s="64"/>
      <c r="K96" s="64"/>
      <c r="L96" s="64"/>
      <c r="M96" s="64"/>
      <c r="N96" s="64"/>
      <c r="O96" s="64"/>
      <c r="P96" s="64"/>
      <c r="Q96" s="64"/>
      <c r="S96" s="134"/>
      <c r="Z96" s="64"/>
      <c r="AA96" s="64"/>
      <c r="AC96" s="73"/>
      <c r="AG96" s="64"/>
      <c r="AH96" s="64"/>
    </row>
    <row r="97" spans="1:40" ht="12.75">
      <c r="A97" s="73" t="s">
        <v>1709</v>
      </c>
      <c r="E97" s="517"/>
      <c r="F97" s="518"/>
      <c r="H97" s="73" t="s">
        <v>236</v>
      </c>
      <c r="O97" s="517"/>
      <c r="P97" s="518"/>
      <c r="R97" s="73" t="s">
        <v>1707</v>
      </c>
      <c r="T97" s="523"/>
      <c r="U97" s="375"/>
      <c r="V97" s="375"/>
      <c r="W97" s="375"/>
      <c r="X97" s="375"/>
      <c r="Y97" s="375"/>
      <c r="Z97" s="375"/>
      <c r="AA97" s="375"/>
      <c r="AB97" s="375"/>
      <c r="AC97" s="375"/>
      <c r="AD97" s="375"/>
      <c r="AE97" s="375"/>
      <c r="AF97" s="375"/>
      <c r="AG97" s="375"/>
      <c r="AH97" s="375"/>
      <c r="AI97" s="375"/>
      <c r="AJ97" s="375"/>
      <c r="AK97" s="375"/>
      <c r="AL97" s="375"/>
      <c r="AM97" s="375"/>
      <c r="AN97" s="376"/>
    </row>
    <row r="98" spans="1:16" ht="1.5" customHeight="1">
      <c r="A98" s="73"/>
      <c r="H98" s="73"/>
      <c r="I98" s="125" t="b">
        <v>0</v>
      </c>
      <c r="P98" s="73"/>
    </row>
    <row r="99" spans="1:4" s="125" customFormat="1" ht="1.5" customHeight="1">
      <c r="A99" s="135">
        <v>98</v>
      </c>
      <c r="B99" s="125" t="b">
        <v>0</v>
      </c>
      <c r="C99" s="125" t="b">
        <v>0</v>
      </c>
      <c r="D99" s="125" t="b">
        <v>0</v>
      </c>
    </row>
    <row r="100" ht="14.25" customHeight="1">
      <c r="A100" s="127" t="s">
        <v>724</v>
      </c>
    </row>
    <row r="101" spans="1:39" s="21" customFormat="1" ht="15" customHeight="1">
      <c r="A101" s="81">
        <f>MIN('BOGEN "ALLE"'!$AP$22:$AR$22)-A110</f>
        <v>17</v>
      </c>
      <c r="B101" s="138" t="str">
        <f>IF(AI93="GESCHOSS"," ",IF(AI93="GESCHOSS1"," ","SCHLAG"))</f>
        <v> </v>
      </c>
      <c r="C101" s="139"/>
      <c r="D101" s="139"/>
      <c r="E101" s="139" t="str">
        <f>IF(AC107=" "," ","WURF")</f>
        <v>WURF</v>
      </c>
      <c r="F101" s="139"/>
      <c r="G101" s="139"/>
      <c r="H101" s="139"/>
      <c r="I101" s="139" t="str">
        <f>IF(O97=0," ","BES.")</f>
        <v> </v>
      </c>
      <c r="J101" s="168"/>
      <c r="K101" s="532" t="str">
        <f>IF(K102=" "," ","MOD SPEZ.")</f>
        <v> </v>
      </c>
      <c r="L101" s="533"/>
      <c r="M101" s="533"/>
      <c r="N101" s="534"/>
      <c r="O101" s="532" t="str">
        <f>IF(AND(O102=" ",Q102=" ")," ","MOD.ST")</f>
        <v>MOD.ST</v>
      </c>
      <c r="P101" s="533"/>
      <c r="Q101" s="534"/>
      <c r="R101" s="532" t="str">
        <f>IF(R102=" "," ","MOD GE")</f>
        <v>MOD GE</v>
      </c>
      <c r="S101" s="533"/>
      <c r="T101" s="533"/>
      <c r="U101" s="534"/>
      <c r="V101" s="532" t="str">
        <f>IF(E97=0," ","MOD. WAFFE")</f>
        <v> </v>
      </c>
      <c r="W101" s="533"/>
      <c r="X101" s="533"/>
      <c r="Y101" s="533"/>
      <c r="Z101" s="534"/>
      <c r="AA101" s="532" t="str">
        <f>IF(O97=0," ","MOD WAFFE SPEZIELL")</f>
        <v> </v>
      </c>
      <c r="AB101" s="533"/>
      <c r="AC101" s="533"/>
      <c r="AD101" s="533"/>
      <c r="AE101" s="533"/>
      <c r="AF101" s="533"/>
      <c r="AG101" s="533"/>
      <c r="AH101" s="533"/>
      <c r="AI101" s="533"/>
      <c r="AJ101" s="533"/>
      <c r="AK101" s="533"/>
      <c r="AL101" s="533"/>
      <c r="AM101" s="534"/>
    </row>
    <row r="102" spans="2:39" s="21" customFormat="1" ht="15" customHeight="1">
      <c r="B102" s="142" t="str">
        <f>IF(AI93="GESCHOSS"," ",IF(AI93="Geschoss1"," ",IF(A99=1," ",A101-(IF(K102=" ",0,K102))-(IF(O102=" ",0,O102))-(IF(V102=" ",0,V102)))))</f>
        <v> </v>
      </c>
      <c r="C102" s="99"/>
      <c r="D102" s="128"/>
      <c r="E102" s="136">
        <f>IF(A99=1," ",IF(AC107=" "," ",IF(AI93="GESCHOSS1",A101-(IF(K102=" ",0,K102))-(IF(R102=" ",0,R102))-(IF(V102=" ","0",V102)),A101-(IF(K102=" ",0,K102))-(IF(O102=" ",0,O102))-(IF(R102=" ",0,R102))-(IF(V102=" ","0",V102)))))</f>
        <v>12</v>
      </c>
      <c r="F102" s="99"/>
      <c r="G102" s="99"/>
      <c r="H102" s="128"/>
      <c r="I102" s="141" t="str">
        <f>IF(O97=0," ",IF(AI93="Geschoss1",A101-(IF(O102=" ",0,O102))-(IF(AA102=" ",0,AA102))-(IF(AND(AC107&lt;&gt;" ",R102&lt;&gt;" "),R102,0)),A101-(IF(K102=" ",0,K102))-(IF(O102=" ",0,O102))-(IF(AA102=" ",0,AA102))-(IF(AND(AC107&lt;&gt;" ",R102&lt;&gt;" "),R102,0))))</f>
        <v> </v>
      </c>
      <c r="J102" s="126"/>
      <c r="K102" s="515" t="str">
        <f>IF($AN$12&lt;-2," ",IF($C99=TRUE,"+1"," "))</f>
        <v> </v>
      </c>
      <c r="L102" s="537"/>
      <c r="M102" s="509" t="str">
        <f>IF($AN$12&lt;-2," ",IF($C99=TRUE,"+2"," "))</f>
        <v> </v>
      </c>
      <c r="N102" s="514"/>
      <c r="O102" s="167" t="str">
        <f>IF('BOGEN "ALLE"'!$G$26="NORMAL"," ",'BOGEN "ALLE"'!$G$26)</f>
        <v>+2</v>
      </c>
      <c r="P102" s="136"/>
      <c r="Q102" s="166" t="str">
        <f>IF('BOGEN "ALLE"'!$K$26="KEINE"," ",'BOGEN "ALLE"'!$K$26)</f>
        <v>+3</v>
      </c>
      <c r="R102" s="515" t="str">
        <f>IF('BOGEN "ALLE"'!$K$30="KEINE"," ",'BOGEN "ALLE"'!$K$30)</f>
        <v>+3</v>
      </c>
      <c r="S102" s="509"/>
      <c r="T102" s="509"/>
      <c r="U102" s="516"/>
      <c r="V102" s="515" t="str">
        <f>IF(E97=""," ",E97)</f>
        <v> </v>
      </c>
      <c r="W102" s="509"/>
      <c r="X102" s="509"/>
      <c r="Y102" s="509"/>
      <c r="Z102" s="516"/>
      <c r="AA102" s="526" t="str">
        <f>IF(O97=0," ",O97)</f>
        <v> </v>
      </c>
      <c r="AB102" s="500"/>
      <c r="AC102" s="527" t="str">
        <f>IF(O97=0," ","gg.")</f>
        <v> </v>
      </c>
      <c r="AD102" s="527"/>
      <c r="AE102" s="509" t="str">
        <f>IF(T97=0," ",T97)</f>
        <v> </v>
      </c>
      <c r="AF102" s="529"/>
      <c r="AG102" s="529"/>
      <c r="AH102" s="529"/>
      <c r="AI102" s="529"/>
      <c r="AJ102" s="529"/>
      <c r="AK102" s="529"/>
      <c r="AL102" s="529"/>
      <c r="AM102" s="530"/>
    </row>
    <row r="103" spans="2:39" s="21" customFormat="1" ht="4.5" customHeight="1">
      <c r="B103" s="149"/>
      <c r="C103" s="86"/>
      <c r="D103" s="139"/>
      <c r="E103" s="149"/>
      <c r="F103" s="86"/>
      <c r="G103" s="86"/>
      <c r="H103" s="139"/>
      <c r="I103" s="150"/>
      <c r="J103" s="86"/>
      <c r="K103" s="511"/>
      <c r="L103" s="511"/>
      <c r="M103" s="511">
        <f>IF(M102=" ",0,M102)</f>
        <v>0</v>
      </c>
      <c r="N103" s="511"/>
      <c r="O103" s="299"/>
      <c r="P103" s="300"/>
      <c r="Q103" s="298" t="str">
        <f>IF(Q102=" ",0,Q102)</f>
        <v>+3</v>
      </c>
      <c r="R103" s="299"/>
      <c r="S103" s="299"/>
      <c r="T103" s="299"/>
      <c r="U103" s="299"/>
      <c r="V103" s="511">
        <f>IF(V102=" ",0,V102)</f>
        <v>0</v>
      </c>
      <c r="W103" s="511"/>
      <c r="X103" s="511"/>
      <c r="Y103" s="511"/>
      <c r="Z103" s="511"/>
      <c r="AA103" s="519">
        <f>IF(AA102=" ",0,AA102)</f>
        <v>0</v>
      </c>
      <c r="AB103" s="519"/>
      <c r="AC103" s="301"/>
      <c r="AD103" s="151"/>
      <c r="AE103" s="152"/>
      <c r="AF103" s="153"/>
      <c r="AG103" s="153"/>
      <c r="AH103" s="153"/>
      <c r="AI103" s="153"/>
      <c r="AJ103" s="153"/>
      <c r="AK103" s="153"/>
      <c r="AL103" s="153"/>
      <c r="AM103" s="148"/>
    </row>
    <row r="104" spans="1:49" s="21" customFormat="1" ht="14.25" customHeight="1">
      <c r="A104" s="127" t="s">
        <v>235</v>
      </c>
      <c r="B104" s="131"/>
      <c r="C104" s="80"/>
      <c r="D104" s="146"/>
      <c r="E104" s="131"/>
      <c r="F104" s="80"/>
      <c r="G104" s="80"/>
      <c r="H104" s="146"/>
      <c r="I104" s="147"/>
      <c r="J104" s="80"/>
      <c r="K104" s="132"/>
      <c r="L104" s="132"/>
      <c r="M104" s="132"/>
      <c r="N104" s="132"/>
      <c r="O104" s="131"/>
      <c r="P104" s="131"/>
      <c r="Q104" s="131"/>
      <c r="R104" s="131"/>
      <c r="S104" s="131"/>
      <c r="T104" s="131"/>
      <c r="U104" s="131"/>
      <c r="V104" s="132"/>
      <c r="W104" s="132"/>
      <c r="X104" s="132"/>
      <c r="Y104" s="132"/>
      <c r="Z104" s="132"/>
      <c r="AA104" s="147"/>
      <c r="AB104" s="147"/>
      <c r="AC104" s="144"/>
      <c r="AD104" s="144"/>
      <c r="AE104" s="133"/>
      <c r="AF104" s="148"/>
      <c r="AG104" s="148"/>
      <c r="AH104" s="148"/>
      <c r="AI104" s="148"/>
      <c r="AJ104" s="148"/>
      <c r="AK104" s="148"/>
      <c r="AL104" s="148"/>
      <c r="AM104" s="148"/>
      <c r="AO104" s="146"/>
      <c r="AP104" s="146"/>
      <c r="AQ104" s="146"/>
      <c r="AR104" s="146"/>
      <c r="AS104" s="146"/>
      <c r="AT104" s="146"/>
      <c r="AU104" s="146"/>
      <c r="AV104" s="146"/>
      <c r="AW104" s="146"/>
    </row>
    <row r="105" spans="1:49" s="21" customFormat="1" ht="15" customHeight="1">
      <c r="A105" s="81">
        <f>IF(K107=" "," ",VLOOKUP($A99,Waffen!$B$4:$Q$209,6))</f>
        <v>2</v>
      </c>
      <c r="B105" s="496" t="str">
        <f>IF(K107=" "," ","INITATIVE EINHÄNDIG")</f>
        <v>INITATIVE EINHÄNDIG</v>
      </c>
      <c r="C105" s="497"/>
      <c r="D105" s="497"/>
      <c r="E105" s="497"/>
      <c r="F105" s="497"/>
      <c r="G105" s="497"/>
      <c r="H105" s="497"/>
      <c r="I105" s="497"/>
      <c r="J105" s="497"/>
      <c r="K105" s="170" t="str">
        <f>IF(K107=" "," ","SCHADEN K-M EINHÄNDIG")</f>
        <v>SCHADEN K-M EINHÄNDIG</v>
      </c>
      <c r="L105" s="136"/>
      <c r="M105" s="136"/>
      <c r="N105" s="136"/>
      <c r="O105" s="136"/>
      <c r="P105" s="136"/>
      <c r="Q105" s="136"/>
      <c r="R105" s="136"/>
      <c r="S105" s="136"/>
      <c r="T105" s="170" t="str">
        <f>IF(K107=" "," ","SCHADEN G EINHÄNDIG")</f>
        <v>SCHADEN G EINHÄNDIG</v>
      </c>
      <c r="U105" s="137"/>
      <c r="V105" s="137"/>
      <c r="W105" s="137"/>
      <c r="X105" s="137"/>
      <c r="Y105" s="137"/>
      <c r="Z105" s="137"/>
      <c r="AA105" s="136"/>
      <c r="AB105" s="136"/>
      <c r="AC105" s="158" t="str">
        <f>IF(AC107=" "," ","SCHUSSFOLGE und REICHWEITEN")</f>
        <v>SCHUSSFOLGE und REICHWEITEN</v>
      </c>
      <c r="AK105" s="148"/>
      <c r="AL105" s="148"/>
      <c r="AM105" s="148"/>
      <c r="AO105" s="146"/>
      <c r="AP105" s="80"/>
      <c r="AQ105" s="80"/>
      <c r="AR105" s="146"/>
      <c r="AS105" s="146"/>
      <c r="AT105" s="146"/>
      <c r="AU105" s="146"/>
      <c r="AV105" s="146"/>
      <c r="AW105" s="80"/>
    </row>
    <row r="106" spans="2:49" s="21" customFormat="1" ht="15" customHeight="1">
      <c r="B106" s="138" t="str">
        <f>IF(AI93="GESCHOSS"," ",IF(AI93="GESCHOSS1"," ",IF(K107=" "," ","SCHLAG")))</f>
        <v> </v>
      </c>
      <c r="C106" s="139"/>
      <c r="D106" s="139"/>
      <c r="E106" s="139" t="str">
        <f>IF(AC107=" "," ",IF(K107=" "," ","WURF"))</f>
        <v>WURF</v>
      </c>
      <c r="F106" s="139"/>
      <c r="G106" s="139"/>
      <c r="H106" s="139" t="str">
        <f>IF(O97=0," ",IF(K107=" "," ","BES."))</f>
        <v> </v>
      </c>
      <c r="I106" s="86"/>
      <c r="J106" s="140"/>
      <c r="K106" s="498" t="str">
        <f>IF(K107=" "," ","BASIS")</f>
        <v>BASIS</v>
      </c>
      <c r="L106" s="345"/>
      <c r="M106" s="345"/>
      <c r="N106" s="499" t="str">
        <f>IF(K107=" "," ","NORMAL")</f>
        <v>NORMAL</v>
      </c>
      <c r="O106" s="499"/>
      <c r="P106" s="499"/>
      <c r="Q106" s="139"/>
      <c r="R106" s="499" t="str">
        <f>IF(R107=" "," ","BES.")</f>
        <v> </v>
      </c>
      <c r="S106" s="346"/>
      <c r="T106" s="498" t="str">
        <f>IF(K107=" "," ","BASIS")</f>
        <v>BASIS</v>
      </c>
      <c r="U106" s="345"/>
      <c r="V106" s="345"/>
      <c r="W106" s="499" t="str">
        <f>IF(K107=" "," ","NORMAL")</f>
        <v>NORMAL</v>
      </c>
      <c r="X106" s="499"/>
      <c r="Y106" s="499"/>
      <c r="Z106" s="139"/>
      <c r="AA106" s="499" t="str">
        <f>IF(AA107=" "," ","BES.")</f>
        <v> </v>
      </c>
      <c r="AB106" s="346"/>
      <c r="AC106" s="532" t="str">
        <f>IF(AC107=" "," ","SF")</f>
        <v>SF</v>
      </c>
      <c r="AD106" s="346"/>
      <c r="AF106" s="532" t="str">
        <f>IF(AF107=" "," ","K")</f>
        <v>K</v>
      </c>
      <c r="AG106" s="346"/>
      <c r="AI106" s="532" t="str">
        <f>IF(AI107=" "," ","M")</f>
        <v>M</v>
      </c>
      <c r="AJ106" s="346"/>
      <c r="AL106" s="532" t="str">
        <f>IF(AL107=" "," ","G")</f>
        <v>G</v>
      </c>
      <c r="AM106" s="346"/>
      <c r="AO106" s="61"/>
      <c r="AP106" s="145"/>
      <c r="AQ106" s="80"/>
      <c r="AR106" s="146"/>
      <c r="AS106" s="146"/>
      <c r="AT106" s="146"/>
      <c r="AU106" s="146"/>
      <c r="AV106" s="146"/>
      <c r="AW106" s="146"/>
    </row>
    <row r="107" spans="2:39" s="21" customFormat="1" ht="15" customHeight="1">
      <c r="B107" s="157" t="str">
        <f>IF(AI93="GESCHOSS"," ",IF(K107=" "," ",IF((A105-(IF(V102=" ",0,V102)))&lt;=0,0,A105-(IF(V102=" ",0,V102)))))</f>
        <v> </v>
      </c>
      <c r="C107" s="502" t="str">
        <f>IF(AI93&lt;&gt;"GESCHOSS",IF(K107=" "," ",(IF(R102=" "," ",R102-(2*R102))))," ")</f>
        <v> </v>
      </c>
      <c r="D107" s="538"/>
      <c r="E107" s="157">
        <f>IF(AC107=" "," ",IF(K107=" "," ",IF((A105-IF(V102=" ",0,V102))&lt;=0,0,A105-(IF(V102=" ",0,V102)))))</f>
        <v>2</v>
      </c>
      <c r="F107" s="502">
        <f>IF(K107=" "," ",IF(AC107=" "," ",(IF(R102=" "," ",R102-(2*R102)))))</f>
        <v>-3</v>
      </c>
      <c r="G107" s="538"/>
      <c r="H107" s="156" t="str">
        <f>IF(O97=0," ",IF(K107=" "," ",IF((A105-(IF(AA102=" ",0,AA102)))&lt;=0,0,A105-(IF(AA102=" ",0,AA102)))))</f>
        <v> </v>
      </c>
      <c r="I107" s="502" t="str">
        <f>IF(O97=0," ",IF(K107=" "," ",(IF(R102=" "," ",R102-(2*R102)))))</f>
        <v> </v>
      </c>
      <c r="J107" s="503"/>
      <c r="K107" s="512" t="str">
        <f>IF(VLOOKUP(A99,Waffen!$B$4:$M$177,8)=0," ",VLOOKUP($A99,Waffen!$B$4:$Q$209,8))</f>
        <v>1W4</v>
      </c>
      <c r="L107" s="513"/>
      <c r="M107" s="510"/>
      <c r="N107" s="509">
        <f>IF(K107=" "," ",IF(AI93="GESCHOSS1",0+V103,IF(AND(AI93="+1",$D99=TRUE),0+M103+Q103+V103,0+M103+Q103+V103)))</f>
        <v>3</v>
      </c>
      <c r="O107" s="509"/>
      <c r="P107" s="509"/>
      <c r="Q107" s="129"/>
      <c r="R107" s="509" t="str">
        <f>IF(O97=0," ",IF(K107=" "," ",IF(AI93="Geschoss1",0+AA103,IF(AND(AI93="+1",$D99=TRUE),0+M103+Q103+AA103,0+M103+Q103+AA103))))</f>
        <v> </v>
      </c>
      <c r="S107" s="516"/>
      <c r="T107" s="504" t="str">
        <f>IF(VLOOKUP(A99,Waffen!$B$4:$M$177,9)=0," ",VLOOKUP($A99,Waffen!$B$4:$Q$209,9))</f>
        <v>1W4</v>
      </c>
      <c r="U107" s="505"/>
      <c r="V107" s="351"/>
      <c r="W107" s="509">
        <f>IF(K107=" "," ",IF(AI93="GESCHOSS1",0+V103,IF(AND(AI93="+1",$D99=TRUE),0+M103+Q103+V103,0+M103+Q103+V103)))</f>
        <v>3</v>
      </c>
      <c r="X107" s="509"/>
      <c r="Y107" s="510"/>
      <c r="Z107" s="129"/>
      <c r="AA107" s="509" t="str">
        <f>IF(O97=0," ",IF(K107=" "," ",IF(AI93="Geschoss1",0+AA103,IF(AND(AI93="+1",$D99=TRUE),0+M103+Q103+AA103,0+M103+Q103+AA103))))</f>
        <v> </v>
      </c>
      <c r="AB107" s="516"/>
      <c r="AC107" s="528" t="str">
        <f>IF(VLOOKUP($A99,Waffen!$B$4:$Q$200,13)=0," ",VLOOKUP($A99,Waffen!$B$4:$Q$200,13))</f>
        <v>2/1</v>
      </c>
      <c r="AD107" s="324"/>
      <c r="AF107" s="528" t="str">
        <f>IF(VLOOKUP($A99,Waffen!$B$4:$Q$200,14)=0," ",VLOOKUP($A99,Waffen!$B$4:$Q$200,14))</f>
        <v>1</v>
      </c>
      <c r="AG107" s="324"/>
      <c r="AI107" s="528" t="str">
        <f>IF(VLOOKUP($A99,Waffen!$B$4:$Q$200,15)=0," ",VLOOKUP($A99,Waffen!$B$4:$Q$200,15))</f>
        <v>2</v>
      </c>
      <c r="AJ107" s="324"/>
      <c r="AL107" s="528" t="str">
        <f>IF(VLOOKUP($A99,Waffen!$B$4:$Q$200,16)=0," ",VLOOKUP($A99,Waffen!$B$4:$Q$200,16))</f>
        <v>3</v>
      </c>
      <c r="AM107" s="324"/>
    </row>
    <row r="108" spans="1:28" s="21" customFormat="1" ht="15" customHeight="1">
      <c r="A108" s="81" t="str">
        <f>IF(Waffenbogen!K110=" "," ",IF(AI93="GESCHOSS",VLOOKUP($A99,Waffen!$B$4:$Q$209,7),IF(AI93="GESCHOSS1",VLOOKUP($A99,Waffen!$B$4:$Q$209,7),IF(AND(AI93="JA",D99=TRUE,$AN$12=-2),VLOOKUP($A99,Waffen!$B$4:$Q$209,7)-3,VLOOKUP($A99,Waffen!$B$4:$Q$209,7)))))</f>
        <v> </v>
      </c>
      <c r="B108" s="520" t="str">
        <f>IF(K110=" "," ","INITATIVE BEIHÄNDIG")</f>
        <v> </v>
      </c>
      <c r="C108" s="521"/>
      <c r="D108" s="521"/>
      <c r="E108" s="521"/>
      <c r="F108" s="521"/>
      <c r="G108" s="521"/>
      <c r="H108" s="521"/>
      <c r="I108" s="521"/>
      <c r="J108" s="521"/>
      <c r="K108" s="169" t="str">
        <f>IF(K110=" "," ","SCHADEN K-M BEIDHÄNDIG")</f>
        <v> </v>
      </c>
      <c r="L108" s="132"/>
      <c r="M108" s="132"/>
      <c r="N108" s="147"/>
      <c r="O108" s="147"/>
      <c r="P108" s="144"/>
      <c r="Q108" s="144"/>
      <c r="R108" s="133"/>
      <c r="S108" s="148"/>
      <c r="T108" s="169" t="str">
        <f>IF(T110=" "," ","SCHADEN G BEIDHÄNDIG")</f>
        <v> </v>
      </c>
      <c r="U108" s="132"/>
      <c r="V108" s="132"/>
      <c r="W108" s="147"/>
      <c r="X108" s="147"/>
      <c r="Y108" s="144"/>
      <c r="Z108" s="144"/>
      <c r="AA108" s="133"/>
      <c r="AB108" s="148"/>
    </row>
    <row r="109" spans="2:28" s="21" customFormat="1" ht="14.25" customHeight="1">
      <c r="B109" s="138" t="str">
        <f>IF(K110=" "," ",IF(AI93="GESCHOSS"," ",IF(AI93="GESCHOSS1"," ","SCHLAG")))</f>
        <v> </v>
      </c>
      <c r="C109" s="139"/>
      <c r="D109" s="139"/>
      <c r="E109" s="139" t="str">
        <f>IF(K110=" "," ",IF(AC107=" "," ","WURF"))</f>
        <v> </v>
      </c>
      <c r="F109" s="139"/>
      <c r="G109" s="139"/>
      <c r="H109" s="139" t="str">
        <f>IF(K110=" "," ",IF(O97=0," ","BES."))</f>
        <v> </v>
      </c>
      <c r="J109" s="87"/>
      <c r="K109" s="498" t="str">
        <f>IF(K110=" "," ","BASIS")</f>
        <v> </v>
      </c>
      <c r="L109" s="345"/>
      <c r="M109" s="345"/>
      <c r="N109" s="499" t="str">
        <f>IF(K110=" "," ","NORMAL")</f>
        <v> </v>
      </c>
      <c r="O109" s="499"/>
      <c r="P109" s="499"/>
      <c r="Q109" s="139"/>
      <c r="R109" s="499" t="str">
        <f>IF(R110=" "," ","BES.")</f>
        <v> </v>
      </c>
      <c r="S109" s="346"/>
      <c r="T109" s="498" t="str">
        <f>IF(K110=" "," ","BASIS")</f>
        <v> </v>
      </c>
      <c r="U109" s="345"/>
      <c r="V109" s="345"/>
      <c r="W109" s="499" t="str">
        <f>IF(K110=" "," ","NORMAL")</f>
        <v> </v>
      </c>
      <c r="X109" s="499"/>
      <c r="Y109" s="499"/>
      <c r="Z109" s="139"/>
      <c r="AA109" s="499" t="str">
        <f>IF(AA110=" "," ","BES.")</f>
        <v> </v>
      </c>
      <c r="AB109" s="346"/>
    </row>
    <row r="110" spans="1:39" s="130" customFormat="1" ht="12.75">
      <c r="A110" s="155">
        <f>IF($B99=TRUE,0,$AN$12)</f>
        <v>-2</v>
      </c>
      <c r="B110" s="157" t="str">
        <f>IF(B109=" "," ",IF((A108-(IF(V102=" ",0,(IF(V102=" ",0,V102)))))&lt;=0,0,A108-(IF(V102=" ",0,V102))))</f>
        <v> </v>
      </c>
      <c r="C110" s="502" t="str">
        <f>IF(AI93="GESCHOSS"," ",IF(AI93="GESCHOSS1"," ",IF(K110=" "," ",(IF(R102=" "," ",R102-(2*R102))))))</f>
        <v> </v>
      </c>
      <c r="D110" s="503"/>
      <c r="E110" s="157" t="str">
        <f>IF(AND(K110&lt;&gt;" ",AC107&lt;&gt;" "),IF((A108-(IF(V102=" ",0,V102)))&lt;=0,0,A108-(IF(V102=" ",0,V102)))," ")</f>
        <v> </v>
      </c>
      <c r="F110" s="502" t="str">
        <f>IF(K110=" "," ",IF(AC107=" "," ",(IF(R102=" "," ",R102-(2*R102)))))</f>
        <v> </v>
      </c>
      <c r="G110" s="503"/>
      <c r="H110" s="157" t="str">
        <f>IF(O97=0," ",IF(K110=" "," ",IF((A108-(IF(V102=" ",0,V102)))&lt;=0,0,A108-(IF(V102=" ",0,V102)))))</f>
        <v> </v>
      </c>
      <c r="I110" s="506" t="str">
        <f>IF(K110=" "," ",IF(AND(O97=0,R102=" ")," ",(IF(R102=" "," ",R102-(2*R102)))))</f>
        <v> </v>
      </c>
      <c r="J110" s="507"/>
      <c r="K110" s="504" t="str">
        <f>IF(IF(VLOOKUP(A99,Waffen!$B$4:$M$177,10)=0,0,VLOOKUP($A99,Waffen!$B$4:$Q$209,10))=0," ",VLOOKUP($A99,Waffen!$B$4:$Q$209,10))</f>
        <v> </v>
      </c>
      <c r="L110" s="505"/>
      <c r="M110" s="351"/>
      <c r="N110" s="500" t="str">
        <f>IF(K110=" "," ",IF(AI93="GESCHOSS1",0+V103,IF(AND(AI93="+1",$D99=TRUE),0+M103+Q103+V103+1,0+M103+Q103+V103)))</f>
        <v> </v>
      </c>
      <c r="O110" s="500"/>
      <c r="P110" s="501"/>
      <c r="Q110" s="129"/>
      <c r="R110" s="500" t="str">
        <f>IF(K110=" "," ",IF(AI93="GESCHOSS1",0+AA103,IF(AND(AI93="+1",$D99=TRUE),0+M103+Q103+AA103+1,0+M103+Q103+AA103)))</f>
        <v> </v>
      </c>
      <c r="S110" s="508"/>
      <c r="T110" s="504" t="str">
        <f>IF(IF(AI93="NEIN",0,VLOOKUP($A99,Waffen!$B$4:$Q$209,11))=0," ",VLOOKUP($A99,Waffen!$B$4:$Q$209,11))</f>
        <v> </v>
      </c>
      <c r="U110" s="505"/>
      <c r="V110" s="351"/>
      <c r="W110" s="500" t="str">
        <f>IF(K110=" "," ",IF(AI93="GESCHOSS1",0+V103,IF(AND(AI93="+1",$D99=TRUE),0+M103+Q103+V103+1,0+M103+Q103+V103)))</f>
        <v> </v>
      </c>
      <c r="X110" s="500"/>
      <c r="Y110" s="501"/>
      <c r="Z110" s="129"/>
      <c r="AA110" s="500" t="str">
        <f>IF(K110=" "," ",IF(AI93="GESCHOSS1",0+AA103,IF(AND(AI93="+1",$D99=TRUE),0+M103+Q103+AA103+1,0+M103+Q103+AA103)))</f>
        <v> </v>
      </c>
      <c r="AB110" s="508"/>
      <c r="AE110" s="531"/>
      <c r="AF110" s="531"/>
      <c r="AG110" s="531"/>
      <c r="AH110" s="531"/>
      <c r="AK110" s="79"/>
      <c r="AL110" s="79"/>
      <c r="AM110" s="79"/>
    </row>
    <row r="111" s="130" customFormat="1" ht="10.5"/>
    <row r="112" spans="1:39" ht="14.25" customHeight="1">
      <c r="A112" s="65"/>
      <c r="B112" s="154"/>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row>
    <row r="113" spans="1:40" ht="12.75">
      <c r="A113" s="522" t="s">
        <v>447</v>
      </c>
      <c r="B113" s="522"/>
      <c r="C113" s="522"/>
      <c r="D113" s="522"/>
      <c r="E113" s="522"/>
      <c r="F113" s="522"/>
      <c r="G113" s="522"/>
      <c r="H113" s="522"/>
      <c r="I113" s="522"/>
      <c r="J113" s="522"/>
      <c r="K113" s="522"/>
      <c r="L113" s="522"/>
      <c r="M113" s="522"/>
      <c r="N113" s="522"/>
      <c r="O113" s="522"/>
      <c r="P113" s="522"/>
      <c r="Q113" s="522"/>
      <c r="R113" s="522"/>
      <c r="S113" s="522"/>
      <c r="T113" s="522"/>
      <c r="U113" s="522"/>
      <c r="V113" s="522"/>
      <c r="AC113" s="297" t="s">
        <v>1708</v>
      </c>
      <c r="AD113" s="281"/>
      <c r="AE113" s="281"/>
      <c r="AF113" s="281"/>
      <c r="AG113" s="281"/>
      <c r="AH113" s="281"/>
      <c r="AI113" s="535" t="str">
        <f>VLOOKUP($A119,Waffen!$B$4:$Q$209,12)</f>
        <v>JA</v>
      </c>
      <c r="AJ113" s="535"/>
      <c r="AK113" s="536"/>
      <c r="AL113" s="536"/>
      <c r="AM113" s="536"/>
      <c r="AN113" s="536"/>
    </row>
    <row r="114" spans="1:29" ht="3" customHeight="1">
      <c r="A114" s="143"/>
      <c r="B114" s="143"/>
      <c r="C114" s="143"/>
      <c r="D114" s="143"/>
      <c r="E114" s="143"/>
      <c r="F114" s="143"/>
      <c r="G114" s="143"/>
      <c r="H114" s="143"/>
      <c r="I114" s="143"/>
      <c r="J114" s="143"/>
      <c r="K114" s="143"/>
      <c r="L114" s="143"/>
      <c r="M114" s="143"/>
      <c r="N114" s="143"/>
      <c r="O114" s="143"/>
      <c r="P114" s="143"/>
      <c r="Q114" s="143"/>
      <c r="R114" s="143"/>
      <c r="S114" s="143"/>
      <c r="T114" s="143"/>
      <c r="U114" s="143"/>
      <c r="V114" s="143"/>
      <c r="AC114" s="130"/>
    </row>
    <row r="115" spans="1:34" ht="12.75">
      <c r="A115" s="16" t="s">
        <v>1710</v>
      </c>
      <c r="B115" s="523" t="str">
        <f>VLOOKUP($A119,Waffen!$B$4:$Q$209,2)</f>
        <v>Claymore</v>
      </c>
      <c r="C115" s="524"/>
      <c r="D115" s="524"/>
      <c r="E115" s="524"/>
      <c r="F115" s="524"/>
      <c r="G115" s="524"/>
      <c r="H115" s="524"/>
      <c r="I115" s="524"/>
      <c r="J115" s="524"/>
      <c r="K115" s="524"/>
      <c r="L115" s="524"/>
      <c r="M115" s="524"/>
      <c r="N115" s="524"/>
      <c r="O115" s="524"/>
      <c r="P115" s="524"/>
      <c r="Q115" s="525"/>
      <c r="S115" s="134" t="s">
        <v>1711</v>
      </c>
      <c r="Z115" s="523" t="str">
        <f>VLOOKUP($A119,Waffen!$B$4:$Q$209,5)</f>
        <v>S</v>
      </c>
      <c r="AA115" s="525"/>
      <c r="AC115" s="73" t="s">
        <v>889</v>
      </c>
      <c r="AG115" s="523" t="str">
        <f>VLOOKUP($A119,Waffen!$B$4:$Q$209,4)</f>
        <v>M</v>
      </c>
      <c r="AH115" s="525"/>
    </row>
    <row r="116" spans="1:34" ht="3" customHeight="1">
      <c r="A116" s="16"/>
      <c r="B116" s="64"/>
      <c r="C116" s="64"/>
      <c r="D116" s="64"/>
      <c r="E116" s="64"/>
      <c r="F116" s="64"/>
      <c r="G116" s="64"/>
      <c r="H116" s="64"/>
      <c r="I116" s="64"/>
      <c r="J116" s="64"/>
      <c r="K116" s="64"/>
      <c r="L116" s="64"/>
      <c r="M116" s="64"/>
      <c r="N116" s="64"/>
      <c r="O116" s="64"/>
      <c r="P116" s="64"/>
      <c r="Q116" s="64"/>
      <c r="S116" s="134"/>
      <c r="Z116" s="64"/>
      <c r="AA116" s="64"/>
      <c r="AC116" s="73"/>
      <c r="AG116" s="64"/>
      <c r="AH116" s="64"/>
    </row>
    <row r="117" spans="1:40" ht="12.75">
      <c r="A117" s="73" t="s">
        <v>1709</v>
      </c>
      <c r="E117" s="517"/>
      <c r="F117" s="518"/>
      <c r="H117" s="73" t="s">
        <v>236</v>
      </c>
      <c r="O117" s="517"/>
      <c r="P117" s="518"/>
      <c r="R117" s="73" t="s">
        <v>1707</v>
      </c>
      <c r="T117" s="523"/>
      <c r="U117" s="375"/>
      <c r="V117" s="375"/>
      <c r="W117" s="375"/>
      <c r="X117" s="375"/>
      <c r="Y117" s="375"/>
      <c r="Z117" s="375"/>
      <c r="AA117" s="375"/>
      <c r="AB117" s="375"/>
      <c r="AC117" s="375"/>
      <c r="AD117" s="375"/>
      <c r="AE117" s="375"/>
      <c r="AF117" s="375"/>
      <c r="AG117" s="375"/>
      <c r="AH117" s="375"/>
      <c r="AI117" s="375"/>
      <c r="AJ117" s="375"/>
      <c r="AK117" s="375"/>
      <c r="AL117" s="375"/>
      <c r="AM117" s="375"/>
      <c r="AN117" s="376"/>
    </row>
    <row r="118" spans="1:16" ht="1.5" customHeight="1">
      <c r="A118" s="73"/>
      <c r="H118" s="73"/>
      <c r="I118" s="125" t="b">
        <v>0</v>
      </c>
      <c r="P118" s="73"/>
    </row>
    <row r="119" spans="1:4" s="125" customFormat="1" ht="1.5" customHeight="1">
      <c r="A119" s="135">
        <v>18</v>
      </c>
      <c r="B119" s="125" t="b">
        <v>1</v>
      </c>
      <c r="C119" s="125" t="b">
        <v>0</v>
      </c>
      <c r="D119" s="125" t="b">
        <v>1</v>
      </c>
    </row>
    <row r="120" ht="14.25" customHeight="1">
      <c r="A120" s="127" t="s">
        <v>724</v>
      </c>
    </row>
    <row r="121" spans="1:39" s="21" customFormat="1" ht="15" customHeight="1">
      <c r="A121" s="81">
        <f>MIN('BOGEN "ALLE"'!$AP$22:$AR$22)-A130</f>
        <v>15</v>
      </c>
      <c r="B121" s="138" t="str">
        <f>IF(AI113="GESCHOSS"," ",IF(AI113="GESCHOSS1"," ","SCHLAG"))</f>
        <v>SCHLAG</v>
      </c>
      <c r="C121" s="139"/>
      <c r="D121" s="139"/>
      <c r="E121" s="139" t="str">
        <f>IF(AC127=" "," ","WURF")</f>
        <v> </v>
      </c>
      <c r="F121" s="139"/>
      <c r="G121" s="139"/>
      <c r="H121" s="139"/>
      <c r="I121" s="139" t="str">
        <f>IF(O117=0," ","BES.")</f>
        <v> </v>
      </c>
      <c r="J121" s="168"/>
      <c r="K121" s="532" t="str">
        <f>IF(K122=" "," ","MOD SPEZ.")</f>
        <v> </v>
      </c>
      <c r="L121" s="533"/>
      <c r="M121" s="533"/>
      <c r="N121" s="534"/>
      <c r="O121" s="532" t="str">
        <f>IF(AND(O122=" ",Q122=" ")," ","MOD.ST")</f>
        <v>MOD.ST</v>
      </c>
      <c r="P121" s="533"/>
      <c r="Q121" s="534"/>
      <c r="R121" s="532" t="str">
        <f>IF(R122=" "," ","MOD GE")</f>
        <v>MOD GE</v>
      </c>
      <c r="S121" s="533"/>
      <c r="T121" s="533"/>
      <c r="U121" s="534"/>
      <c r="V121" s="532" t="str">
        <f>IF(E117=0," ","MOD. WAFFE")</f>
        <v> </v>
      </c>
      <c r="W121" s="533"/>
      <c r="X121" s="533"/>
      <c r="Y121" s="533"/>
      <c r="Z121" s="534"/>
      <c r="AA121" s="532" t="str">
        <f>IF(O117=0," ","MOD WAFFE SPEZIELL")</f>
        <v> </v>
      </c>
      <c r="AB121" s="533"/>
      <c r="AC121" s="533"/>
      <c r="AD121" s="533"/>
      <c r="AE121" s="533"/>
      <c r="AF121" s="533"/>
      <c r="AG121" s="533"/>
      <c r="AH121" s="533"/>
      <c r="AI121" s="533"/>
      <c r="AJ121" s="533"/>
      <c r="AK121" s="533"/>
      <c r="AL121" s="533"/>
      <c r="AM121" s="534"/>
    </row>
    <row r="122" spans="2:39" s="21" customFormat="1" ht="15" customHeight="1">
      <c r="B122" s="142">
        <f>IF(AI113="GESCHOSS"," ",IF(AI113="Geschoss1"," ",IF(A119=1," ",A121-(IF(K122=" ",0,K122))-(IF(O122=" ",0,O122))-(IF(V122=" ",0,V122)))))</f>
        <v>13</v>
      </c>
      <c r="C122" s="99"/>
      <c r="D122" s="128"/>
      <c r="E122" s="136" t="str">
        <f>IF(A119=1," ",IF(AC127=" "," ",IF(AI113="GESCHOSS1",A121-(IF(K122=" ",0,K122))-(IF(R122=" ",0,R122))-(IF(V122=" ","0",V122)),A121-(IF(K122=" ",0,K122))-(IF(O122=" ",0,O122))-(IF(R122=" ",0,R122))-(IF(V122=" ","0",V122)))))</f>
        <v> </v>
      </c>
      <c r="F122" s="99"/>
      <c r="G122" s="99"/>
      <c r="H122" s="128"/>
      <c r="I122" s="141" t="str">
        <f>IF(O117=0," ",IF(AI113="Geschoss1",A121-(IF(O122=" ",0,O122))-(IF(AA122=" ",0,AA122))-(IF(AND(AC127&lt;&gt;" ",R122&lt;&gt;" "),R122,0)),A121-(IF(K122=" ",0,K122))-(IF(O122=" ",0,O122))-(IF(AA122=" ",0,AA122))-(IF(AND(AC127&lt;&gt;" ",R122&lt;&gt;" "),R122,0))))</f>
        <v> </v>
      </c>
      <c r="J122" s="126"/>
      <c r="K122" s="515" t="str">
        <f>IF($AN$12&lt;-2," ",IF($C119=TRUE,"+1"," "))</f>
        <v> </v>
      </c>
      <c r="L122" s="537"/>
      <c r="M122" s="509" t="str">
        <f>IF($AN$12&lt;-2," ",IF($C119=TRUE,"+2"," "))</f>
        <v> </v>
      </c>
      <c r="N122" s="514"/>
      <c r="O122" s="167" t="str">
        <f>IF('BOGEN "ALLE"'!$G$26="NORMAL"," ",'BOGEN "ALLE"'!$G$26)</f>
        <v>+2</v>
      </c>
      <c r="P122" s="136"/>
      <c r="Q122" s="166" t="str">
        <f>IF('BOGEN "ALLE"'!$K$26="KEINE"," ",'BOGEN "ALLE"'!$K$26)</f>
        <v>+3</v>
      </c>
      <c r="R122" s="515" t="str">
        <f>IF('BOGEN "ALLE"'!$K$30="KEINE"," ",'BOGEN "ALLE"'!$K$30)</f>
        <v>+3</v>
      </c>
      <c r="S122" s="509"/>
      <c r="T122" s="509"/>
      <c r="U122" s="516"/>
      <c r="V122" s="515" t="str">
        <f>IF(E117=""," ",E117)</f>
        <v> </v>
      </c>
      <c r="W122" s="509"/>
      <c r="X122" s="509"/>
      <c r="Y122" s="509"/>
      <c r="Z122" s="516"/>
      <c r="AA122" s="526" t="str">
        <f>IF(O117=0," ",O117)</f>
        <v> </v>
      </c>
      <c r="AB122" s="500"/>
      <c r="AC122" s="527" t="str">
        <f>IF(O117=0," ","gg.")</f>
        <v> </v>
      </c>
      <c r="AD122" s="527"/>
      <c r="AE122" s="509" t="str">
        <f>IF(T117=0," ",T117)</f>
        <v> </v>
      </c>
      <c r="AF122" s="529"/>
      <c r="AG122" s="529"/>
      <c r="AH122" s="529"/>
      <c r="AI122" s="529"/>
      <c r="AJ122" s="529"/>
      <c r="AK122" s="529"/>
      <c r="AL122" s="529"/>
      <c r="AM122" s="530"/>
    </row>
    <row r="123" spans="2:39" s="21" customFormat="1" ht="4.5" customHeight="1">
      <c r="B123" s="149"/>
      <c r="C123" s="86"/>
      <c r="D123" s="139"/>
      <c r="E123" s="149"/>
      <c r="F123" s="86"/>
      <c r="G123" s="86"/>
      <c r="H123" s="139"/>
      <c r="I123" s="150"/>
      <c r="J123" s="86"/>
      <c r="K123" s="511"/>
      <c r="L123" s="511"/>
      <c r="M123" s="511">
        <f>IF(M122=" ",0,M122)</f>
        <v>0</v>
      </c>
      <c r="N123" s="511"/>
      <c r="O123" s="299"/>
      <c r="P123" s="300"/>
      <c r="Q123" s="298" t="str">
        <f>IF(Q122=" ",0,Q122)</f>
        <v>+3</v>
      </c>
      <c r="R123" s="299"/>
      <c r="S123" s="299"/>
      <c r="T123" s="299"/>
      <c r="U123" s="299"/>
      <c r="V123" s="511">
        <f>IF(V122=" ",0,V122)</f>
        <v>0</v>
      </c>
      <c r="W123" s="511"/>
      <c r="X123" s="511"/>
      <c r="Y123" s="511"/>
      <c r="Z123" s="511"/>
      <c r="AA123" s="519">
        <f>IF(AA122=" ",0,AA122)</f>
        <v>0</v>
      </c>
      <c r="AB123" s="519"/>
      <c r="AC123" s="301"/>
      <c r="AD123" s="151"/>
      <c r="AE123" s="152"/>
      <c r="AF123" s="153"/>
      <c r="AG123" s="153"/>
      <c r="AH123" s="153"/>
      <c r="AI123" s="153"/>
      <c r="AJ123" s="153"/>
      <c r="AK123" s="153"/>
      <c r="AL123" s="153"/>
      <c r="AM123" s="148"/>
    </row>
    <row r="124" spans="1:49" s="21" customFormat="1" ht="14.25" customHeight="1">
      <c r="A124" s="127" t="s">
        <v>235</v>
      </c>
      <c r="B124" s="131"/>
      <c r="C124" s="80"/>
      <c r="D124" s="146"/>
      <c r="E124" s="131"/>
      <c r="F124" s="80"/>
      <c r="G124" s="80"/>
      <c r="H124" s="146"/>
      <c r="I124" s="147"/>
      <c r="J124" s="80"/>
      <c r="K124" s="132"/>
      <c r="L124" s="132"/>
      <c r="M124" s="132"/>
      <c r="N124" s="132"/>
      <c r="O124" s="131"/>
      <c r="P124" s="131"/>
      <c r="Q124" s="131"/>
      <c r="R124" s="131"/>
      <c r="S124" s="131"/>
      <c r="T124" s="131"/>
      <c r="U124" s="131"/>
      <c r="V124" s="132"/>
      <c r="W124" s="132"/>
      <c r="X124" s="132"/>
      <c r="Y124" s="132"/>
      <c r="Z124" s="132"/>
      <c r="AA124" s="147"/>
      <c r="AB124" s="147"/>
      <c r="AC124" s="144"/>
      <c r="AD124" s="144"/>
      <c r="AE124" s="133"/>
      <c r="AF124" s="148"/>
      <c r="AG124" s="148"/>
      <c r="AH124" s="148"/>
      <c r="AI124" s="148"/>
      <c r="AJ124" s="148"/>
      <c r="AK124" s="148"/>
      <c r="AL124" s="148"/>
      <c r="AM124" s="148"/>
      <c r="AO124" s="146"/>
      <c r="AP124" s="146"/>
      <c r="AQ124" s="146"/>
      <c r="AR124" s="146"/>
      <c r="AS124" s="146"/>
      <c r="AT124" s="146"/>
      <c r="AU124" s="146"/>
      <c r="AV124" s="146"/>
      <c r="AW124" s="146"/>
    </row>
    <row r="125" spans="1:49" s="21" customFormat="1" ht="15" customHeight="1">
      <c r="A125" s="81" t="str">
        <f>IF(K127=" "," ",VLOOKUP($A119,Waffen!$B$4:$Q$209,6))</f>
        <v> </v>
      </c>
      <c r="B125" s="496" t="str">
        <f>IF(K127=" "," ","INITATIVE EINHÄNDIG")</f>
        <v> </v>
      </c>
      <c r="C125" s="497"/>
      <c r="D125" s="497"/>
      <c r="E125" s="497"/>
      <c r="F125" s="497"/>
      <c r="G125" s="497"/>
      <c r="H125" s="497"/>
      <c r="I125" s="497"/>
      <c r="J125" s="497"/>
      <c r="K125" s="170" t="str">
        <f>IF(K127=" "," ","SCHADEN K-M EINHÄNDIG")</f>
        <v> </v>
      </c>
      <c r="L125" s="136"/>
      <c r="M125" s="136"/>
      <c r="N125" s="136"/>
      <c r="O125" s="136"/>
      <c r="P125" s="136"/>
      <c r="Q125" s="136"/>
      <c r="R125" s="136"/>
      <c r="S125" s="136"/>
      <c r="T125" s="170" t="str">
        <f>IF(K127=" "," ","SCHADEN G EINHÄNDIG")</f>
        <v> </v>
      </c>
      <c r="U125" s="137"/>
      <c r="V125" s="137"/>
      <c r="W125" s="137"/>
      <c r="X125" s="137"/>
      <c r="Y125" s="137"/>
      <c r="Z125" s="137"/>
      <c r="AA125" s="136"/>
      <c r="AB125" s="136"/>
      <c r="AC125" s="158" t="str">
        <f>IF(AC127=" "," ","SCHUSSFOLGE und REICHWEITEN")</f>
        <v> </v>
      </c>
      <c r="AK125" s="148"/>
      <c r="AL125" s="148"/>
      <c r="AM125" s="148"/>
      <c r="AO125" s="146"/>
      <c r="AP125" s="80"/>
      <c r="AQ125" s="80"/>
      <c r="AR125" s="146"/>
      <c r="AS125" s="146"/>
      <c r="AT125" s="146"/>
      <c r="AU125" s="146"/>
      <c r="AV125" s="146"/>
      <c r="AW125" s="80"/>
    </row>
    <row r="126" spans="2:49" s="21" customFormat="1" ht="15" customHeight="1">
      <c r="B126" s="138" t="str">
        <f>IF(AI113="GESCHOSS"," ",IF(AI113="GESCHOSS1"," ",IF(K127=" "," ","SCHLAG")))</f>
        <v> </v>
      </c>
      <c r="C126" s="139"/>
      <c r="D126" s="139"/>
      <c r="E126" s="139" t="str">
        <f>IF(AC127=" "," ",IF(K127=" "," ","WURF"))</f>
        <v> </v>
      </c>
      <c r="F126" s="139"/>
      <c r="G126" s="139"/>
      <c r="H126" s="139" t="str">
        <f>IF(O117=0," ",IF(K127=" "," ","BES."))</f>
        <v> </v>
      </c>
      <c r="I126" s="86"/>
      <c r="J126" s="140"/>
      <c r="K126" s="498" t="str">
        <f>IF(K127=" "," ","BASIS")</f>
        <v> </v>
      </c>
      <c r="L126" s="345"/>
      <c r="M126" s="345"/>
      <c r="N126" s="499" t="str">
        <f>IF(K127=" "," ","NORMAL")</f>
        <v> </v>
      </c>
      <c r="O126" s="499"/>
      <c r="P126" s="499"/>
      <c r="Q126" s="139"/>
      <c r="R126" s="499" t="str">
        <f>IF(R127=" "," ","BES.")</f>
        <v> </v>
      </c>
      <c r="S126" s="346"/>
      <c r="T126" s="498" t="str">
        <f>IF(K127=" "," ","BASIS")</f>
        <v> </v>
      </c>
      <c r="U126" s="345"/>
      <c r="V126" s="345"/>
      <c r="W126" s="499" t="str">
        <f>IF(K127=" "," ","NORMAL")</f>
        <v> </v>
      </c>
      <c r="X126" s="499"/>
      <c r="Y126" s="499"/>
      <c r="Z126" s="139"/>
      <c r="AA126" s="499" t="str">
        <f>IF(AA127=" "," ","BES.")</f>
        <v> </v>
      </c>
      <c r="AB126" s="346"/>
      <c r="AC126" s="532" t="str">
        <f>IF(AC127=" "," ","SF")</f>
        <v> </v>
      </c>
      <c r="AD126" s="346"/>
      <c r="AF126" s="532" t="str">
        <f>IF(AF127=" "," ","K")</f>
        <v> </v>
      </c>
      <c r="AG126" s="346"/>
      <c r="AI126" s="532" t="str">
        <f>IF(AI127=" "," ","M")</f>
        <v> </v>
      </c>
      <c r="AJ126" s="346"/>
      <c r="AL126" s="532" t="str">
        <f>IF(AL127=" "," ","G")</f>
        <v> </v>
      </c>
      <c r="AM126" s="346"/>
      <c r="AO126" s="61"/>
      <c r="AP126" s="145"/>
      <c r="AQ126" s="80"/>
      <c r="AR126" s="146"/>
      <c r="AS126" s="146"/>
      <c r="AT126" s="146"/>
      <c r="AU126" s="146"/>
      <c r="AV126" s="146"/>
      <c r="AW126" s="146"/>
    </row>
    <row r="127" spans="2:39" s="21" customFormat="1" ht="15" customHeight="1">
      <c r="B127" s="157" t="str">
        <f>IF(AI113="GESCHOSS"," ",IF(K127=" "," ",IF((A125-(IF(V122=" ",0,V122)))&lt;=0,0,A125-(IF(V122=" ",0,V122)))))</f>
        <v> </v>
      </c>
      <c r="C127" s="502" t="str">
        <f>IF(AI113&lt;&gt;"GESCHOSS",IF(K127=" "," ",(IF(R122=" "," ",R122-(2*R122))))," ")</f>
        <v> </v>
      </c>
      <c r="D127" s="538"/>
      <c r="E127" s="157" t="str">
        <f>IF(AC127=" "," ",IF(K127=" "," ",IF((A125-IF(V122=" ",0,V122))&lt;=0,0,A125-(IF(V122=" ",0,V122)))))</f>
        <v> </v>
      </c>
      <c r="F127" s="502" t="str">
        <f>IF(K127=" "," ",IF(AC127=" "," ",(IF(R122=" "," ",R122-(2*R122)))))</f>
        <v> </v>
      </c>
      <c r="G127" s="538"/>
      <c r="H127" s="156" t="str">
        <f>IF(O117=0," ",IF(K127=" "," ",IF((A125-(IF(AA122=" ",0,AA122)))&lt;=0,0,A125-(IF(AA122=" ",0,AA122)))))</f>
        <v> </v>
      </c>
      <c r="I127" s="502" t="str">
        <f>IF(O117=0," ",IF(K127=" "," ",(IF(R122=" "," ",R122-(2*R122)))))</f>
        <v> </v>
      </c>
      <c r="J127" s="503"/>
      <c r="K127" s="512" t="str">
        <f>IF(VLOOKUP(A119,Waffen!$B$4:$M$177,8)=0," ",VLOOKUP($A119,Waffen!$B$4:$Q$209,8))</f>
        <v> </v>
      </c>
      <c r="L127" s="513"/>
      <c r="M127" s="510"/>
      <c r="N127" s="509" t="str">
        <f>IF(K127=" "," ",IF(AI113="GESCHOSS1",0+V123,IF(AND(AI113="+1",$D119=TRUE),0+M123+Q123+V123,0+M123+Q123+V123)))</f>
        <v> </v>
      </c>
      <c r="O127" s="509"/>
      <c r="P127" s="509"/>
      <c r="Q127" s="129"/>
      <c r="R127" s="509" t="str">
        <f>IF(O117=0," ",IF(K127=" "," ",IF(AI113="Geschoss1",0+AA123,IF(AND(AI113="+1",$D119=TRUE),0+M123+Q123+AA123,0+M123+Q123+AA123))))</f>
        <v> </v>
      </c>
      <c r="S127" s="516"/>
      <c r="T127" s="504" t="str">
        <f>IF(VLOOKUP(A119,Waffen!$B$4:$M$177,9)=0," ",VLOOKUP($A119,Waffen!$B$4:$Q$209,9))</f>
        <v> </v>
      </c>
      <c r="U127" s="505"/>
      <c r="V127" s="351"/>
      <c r="W127" s="509" t="str">
        <f>IF(K127=" "," ",IF(AI113="GESCHOSS1",0+V123,IF(AND(AI113="+1",$D119=TRUE),0+M123+Q123+V123,0+M123+Q123+V123)))</f>
        <v> </v>
      </c>
      <c r="X127" s="509"/>
      <c r="Y127" s="510"/>
      <c r="Z127" s="129"/>
      <c r="AA127" s="509" t="str">
        <f>IF(O117=0," ",IF(K127=" "," ",IF(AI113="Geschoss1",0+AA123,IF(AND(AI113="+1",$D119=TRUE),0+M123+Q123+AA123,0+M123+Q123+AA123))))</f>
        <v> </v>
      </c>
      <c r="AB127" s="516"/>
      <c r="AC127" s="528" t="str">
        <f>IF(VLOOKUP($A119,Waffen!$B$4:$Q$200,13)=0," ",VLOOKUP($A119,Waffen!$B$4:$Q$200,13))</f>
        <v> </v>
      </c>
      <c r="AD127" s="324"/>
      <c r="AF127" s="528" t="str">
        <f>IF(VLOOKUP($A119,Waffen!$B$4:$Q$200,14)=0," ",VLOOKUP($A119,Waffen!$B$4:$Q$200,14))</f>
        <v> </v>
      </c>
      <c r="AG127" s="324"/>
      <c r="AI127" s="528" t="str">
        <f>IF(VLOOKUP($A119,Waffen!$B$4:$Q$200,15)=0," ",VLOOKUP($A119,Waffen!$B$4:$Q$200,15))</f>
        <v> </v>
      </c>
      <c r="AJ127" s="324"/>
      <c r="AL127" s="528" t="str">
        <f>IF(VLOOKUP($A119,Waffen!$B$4:$Q$200,16)=0," ",VLOOKUP($A119,Waffen!$B$4:$Q$200,16))</f>
        <v> </v>
      </c>
      <c r="AM127" s="324"/>
    </row>
    <row r="128" spans="1:28" s="21" customFormat="1" ht="15" customHeight="1">
      <c r="A128" s="81">
        <f>IF(Waffenbogen!K130=" "," ",IF(AI113="GESCHOSS",VLOOKUP($A119,Waffen!$B$4:$Q$209,7),IF(AI113="GESCHOSS1",VLOOKUP($A119,Waffen!$B$4:$Q$209,7),IF(AND(AI113="JA",D119=TRUE,$AN$12=-2),VLOOKUP($A119,Waffen!$B$4:$Q$209,7)-3,VLOOKUP($A119,Waffen!$B$4:$Q$209,7)))))</f>
        <v>5</v>
      </c>
      <c r="B128" s="520" t="str">
        <f>IF(K130=" "," ","INITATIVE BEIHÄNDIG")</f>
        <v>INITATIVE BEIHÄNDIG</v>
      </c>
      <c r="C128" s="521"/>
      <c r="D128" s="521"/>
      <c r="E128" s="521"/>
      <c r="F128" s="521"/>
      <c r="G128" s="521"/>
      <c r="H128" s="521"/>
      <c r="I128" s="521"/>
      <c r="J128" s="521"/>
      <c r="K128" s="169" t="str">
        <f>IF(K130=" "," ","SCHADEN K-M BEIDHÄNDIG")</f>
        <v>SCHADEN K-M BEIDHÄNDIG</v>
      </c>
      <c r="L128" s="132"/>
      <c r="M128" s="132"/>
      <c r="N128" s="147"/>
      <c r="O128" s="147"/>
      <c r="P128" s="144"/>
      <c r="Q128" s="144"/>
      <c r="R128" s="133"/>
      <c r="S128" s="148"/>
      <c r="T128" s="169" t="str">
        <f>IF(T130=" "," ","SCHADEN G BEIDHÄNDIG")</f>
        <v>SCHADEN G BEIDHÄNDIG</v>
      </c>
      <c r="U128" s="132"/>
      <c r="V128" s="132"/>
      <c r="W128" s="147"/>
      <c r="X128" s="147"/>
      <c r="Y128" s="144"/>
      <c r="Z128" s="144"/>
      <c r="AA128" s="133"/>
      <c r="AB128" s="148"/>
    </row>
    <row r="129" spans="2:28" s="21" customFormat="1" ht="14.25" customHeight="1">
      <c r="B129" s="138" t="str">
        <f>IF(K130=" "," ",IF(AI113="GESCHOSS"," ",IF(AI113="GESCHOSS1"," ","SCHLAG")))</f>
        <v>SCHLAG</v>
      </c>
      <c r="C129" s="139"/>
      <c r="D129" s="139"/>
      <c r="E129" s="139" t="str">
        <f>IF(K130=" "," ",IF(AC127=" "," ","WURF"))</f>
        <v> </v>
      </c>
      <c r="F129" s="139"/>
      <c r="G129" s="139"/>
      <c r="H129" s="139" t="str">
        <f>IF(K130=" "," ",IF(O117=0," ","BES."))</f>
        <v> </v>
      </c>
      <c r="J129" s="87"/>
      <c r="K129" s="498" t="str">
        <f>IF(K130=" "," ","BASIS")</f>
        <v>BASIS</v>
      </c>
      <c r="L129" s="345"/>
      <c r="M129" s="345"/>
      <c r="N129" s="499" t="str">
        <f>IF(K130=" "," ","NORMAL")</f>
        <v>NORMAL</v>
      </c>
      <c r="O129" s="499"/>
      <c r="P129" s="499"/>
      <c r="Q129" s="139"/>
      <c r="R129" s="499" t="str">
        <f>IF(R130=" "," ","BES.")</f>
        <v> </v>
      </c>
      <c r="S129" s="346"/>
      <c r="T129" s="498" t="str">
        <f>IF(K130=" "," ","BASIS")</f>
        <v>BASIS</v>
      </c>
      <c r="U129" s="345"/>
      <c r="V129" s="345"/>
      <c r="W129" s="499" t="str">
        <f>IF(K130=" "," ","NORMAL")</f>
        <v>NORMAL</v>
      </c>
      <c r="X129" s="499"/>
      <c r="Y129" s="499"/>
      <c r="Z129" s="139"/>
      <c r="AA129" s="499" t="str">
        <f>IF(AA130=" "," ","BES.")</f>
        <v> </v>
      </c>
      <c r="AB129" s="346"/>
    </row>
    <row r="130" spans="1:39" s="130" customFormat="1" ht="12.75">
      <c r="A130" s="155">
        <f>IF($B119=TRUE,0,$AN$12)</f>
        <v>0</v>
      </c>
      <c r="B130" s="157">
        <f>IF(B129=" "," ",IF((A128-(IF(V122=" ",0,(IF(V122=" ",0,V122)))))&lt;=0,0,A128-(IF(V122=" ",0,V122))))</f>
        <v>5</v>
      </c>
      <c r="C130" s="502">
        <f>IF(AI113="GESCHOSS"," ",IF(AI113="GESCHOSS1"," ",IF(K130=" "," ",(IF(R122=" "," ",R122-(2*R122))))))</f>
        <v>-3</v>
      </c>
      <c r="D130" s="503"/>
      <c r="E130" s="157" t="str">
        <f>IF(AND(K130&lt;&gt;" ",AC127&lt;&gt;" "),IF((A128-(IF(V122=" ",0,V122)))&lt;=0,0,A128-(IF(V122=" ",0,V122)))," ")</f>
        <v> </v>
      </c>
      <c r="F130" s="502" t="str">
        <f>IF(K130=" "," ",IF(AC127=" "," ",(IF(R122=" "," ",R122-(2*R122)))))</f>
        <v> </v>
      </c>
      <c r="G130" s="503"/>
      <c r="H130" s="157" t="str">
        <f>IF(O117=0," ",IF(K130=" "," ",IF((A128-(IF(V122=" ",0,V122)))&lt;=0,0,A128-(IF(V122=" ",0,V122)))))</f>
        <v> </v>
      </c>
      <c r="I130" s="506">
        <f>IF(K130=" "," ",IF(AND(O117=0,R122=" ")," ",(IF(R122=" "," ",R122-(2*R122)))))</f>
        <v>-3</v>
      </c>
      <c r="J130" s="507"/>
      <c r="K130" s="504" t="str">
        <f>IF(IF(VLOOKUP(A119,Waffen!$B$4:$M$177,10)=0,0,VLOOKUP($A119,Waffen!$B$4:$Q$209,10))=0," ",VLOOKUP($A119,Waffen!$B$4:$Q$209,10))</f>
        <v>2W4</v>
      </c>
      <c r="L130" s="505"/>
      <c r="M130" s="351"/>
      <c r="N130" s="500">
        <f>IF(K130=" "," ",IF(AI113="GESCHOSS1",0+V123,IF(AND(AI113="+1",$D119=TRUE),0+M123+Q123+V123+1,0+M123+Q123+V123)))</f>
        <v>3</v>
      </c>
      <c r="O130" s="500"/>
      <c r="P130" s="501"/>
      <c r="Q130" s="129"/>
      <c r="R130" s="500" t="str">
        <f>IF(AA123=0," ",IF(K130=" "," ",IF(AI113="GESCHOSS1",0+AA123,IF(AND(AI113="+1",$D119=TRUE,$K$9="-2"),0+M123+Q123+AA123+1,0+M123+Q123+AA123))))</f>
        <v> </v>
      </c>
      <c r="S130" s="508"/>
      <c r="T130" s="504" t="str">
        <f>IF(IF(AI113="NEIN",0,VLOOKUP($A119,Waffen!$B$4:$Q$209,11))=0," ",VLOOKUP($A119,Waffen!$B$4:$Q$209,11))</f>
        <v>2W6</v>
      </c>
      <c r="U130" s="505"/>
      <c r="V130" s="351"/>
      <c r="W130" s="500">
        <f>IF(K130=" "," ",IF(AI113="GESCHOSS1",0+V123,IF(AND(AI113="+1",$D119=TRUE),0+M123+Q123+V123+1,0+M123+Q123+V123)))</f>
        <v>3</v>
      </c>
      <c r="X130" s="500"/>
      <c r="Y130" s="501"/>
      <c r="Z130" s="129"/>
      <c r="AA130" s="500" t="str">
        <f>IF(AJ123=0," ",IF(T130=" "," ",IF(AR113="GESCHOSS1",0+AJ123,IF(AND(AR113="+1",$D119=TRUE,$K$9="-2"),0+V123+Z123+AJ123+1,0+V123+Z123+AJ123))))</f>
        <v> </v>
      </c>
      <c r="AB130" s="508"/>
      <c r="AE130" s="531"/>
      <c r="AF130" s="531"/>
      <c r="AG130" s="531"/>
      <c r="AH130" s="531"/>
      <c r="AK130" s="79"/>
      <c r="AL130" s="79"/>
      <c r="AM130" s="79"/>
    </row>
    <row r="131" s="130" customFormat="1" ht="10.5"/>
    <row r="132" spans="1:39" ht="14.25" customHeight="1">
      <c r="A132" s="65"/>
      <c r="B132" s="154"/>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row>
    <row r="133" spans="1:40" ht="12.75">
      <c r="A133" s="522"/>
      <c r="B133" s="522"/>
      <c r="C133" s="522"/>
      <c r="D133" s="522"/>
      <c r="E133" s="522"/>
      <c r="F133" s="522"/>
      <c r="G133" s="522"/>
      <c r="H133" s="522"/>
      <c r="I133" s="522"/>
      <c r="J133" s="522"/>
      <c r="K133" s="522"/>
      <c r="L133" s="522"/>
      <c r="M133" s="522"/>
      <c r="N133" s="522"/>
      <c r="O133" s="522"/>
      <c r="P133" s="522"/>
      <c r="Q133" s="522"/>
      <c r="R133" s="522"/>
      <c r="S133" s="522"/>
      <c r="T133" s="522"/>
      <c r="U133" s="522"/>
      <c r="V133" s="522"/>
      <c r="AC133" s="297" t="s">
        <v>1708</v>
      </c>
      <c r="AD133" s="281"/>
      <c r="AE133" s="281"/>
      <c r="AF133" s="281"/>
      <c r="AG133" s="281"/>
      <c r="AH133" s="281"/>
      <c r="AI133" s="535" t="str">
        <f>VLOOKUP($A139,Waffen!$B$4:$Q$209,12)</f>
        <v>NEIN</v>
      </c>
      <c r="AJ133" s="535"/>
      <c r="AK133" s="536"/>
      <c r="AL133" s="536"/>
      <c r="AM133" s="536"/>
      <c r="AN133" s="536"/>
    </row>
    <row r="134" spans="1:29" ht="3" customHeight="1">
      <c r="A134" s="143"/>
      <c r="B134" s="143"/>
      <c r="C134" s="143"/>
      <c r="D134" s="143"/>
      <c r="E134" s="143"/>
      <c r="F134" s="143"/>
      <c r="G134" s="143"/>
      <c r="H134" s="143"/>
      <c r="I134" s="143"/>
      <c r="J134" s="143"/>
      <c r="K134" s="143"/>
      <c r="L134" s="143"/>
      <c r="M134" s="143"/>
      <c r="N134" s="143"/>
      <c r="O134" s="143"/>
      <c r="P134" s="143"/>
      <c r="Q134" s="143"/>
      <c r="R134" s="143"/>
      <c r="S134" s="143"/>
      <c r="T134" s="143"/>
      <c r="U134" s="143"/>
      <c r="V134" s="143"/>
      <c r="AC134" s="130"/>
    </row>
    <row r="135" spans="1:34" ht="12.75">
      <c r="A135" s="16" t="s">
        <v>1710</v>
      </c>
      <c r="B135" s="523" t="str">
        <f>VLOOKUP($A139,Waffen!$B$4:$Q$209,2)</f>
        <v>Kurzschwert</v>
      </c>
      <c r="C135" s="524"/>
      <c r="D135" s="524"/>
      <c r="E135" s="524"/>
      <c r="F135" s="524"/>
      <c r="G135" s="524"/>
      <c r="H135" s="524"/>
      <c r="I135" s="524"/>
      <c r="J135" s="524"/>
      <c r="K135" s="524"/>
      <c r="L135" s="524"/>
      <c r="M135" s="524"/>
      <c r="N135" s="524"/>
      <c r="O135" s="524"/>
      <c r="P135" s="524"/>
      <c r="Q135" s="525"/>
      <c r="S135" s="134" t="s">
        <v>1711</v>
      </c>
      <c r="Z135" s="523" t="str">
        <f>VLOOKUP($A139,Waffen!$B$4:$Q$209,5)</f>
        <v>S</v>
      </c>
      <c r="AA135" s="525"/>
      <c r="AC135" s="73" t="s">
        <v>889</v>
      </c>
      <c r="AG135" s="523" t="str">
        <f>VLOOKUP($A139,Waffen!$B$4:$Q$209,4)</f>
        <v>K</v>
      </c>
      <c r="AH135" s="525"/>
    </row>
    <row r="136" spans="1:34" ht="3" customHeight="1">
      <c r="A136" s="16"/>
      <c r="B136" s="64"/>
      <c r="C136" s="64"/>
      <c r="D136" s="64"/>
      <c r="E136" s="64"/>
      <c r="F136" s="64"/>
      <c r="G136" s="64"/>
      <c r="H136" s="64"/>
      <c r="I136" s="64"/>
      <c r="J136" s="64"/>
      <c r="K136" s="64"/>
      <c r="L136" s="64"/>
      <c r="M136" s="64"/>
      <c r="N136" s="64"/>
      <c r="O136" s="64"/>
      <c r="P136" s="64"/>
      <c r="Q136" s="64"/>
      <c r="S136" s="134"/>
      <c r="Z136" s="64"/>
      <c r="AA136" s="64"/>
      <c r="AC136" s="73"/>
      <c r="AG136" s="64"/>
      <c r="AH136" s="64"/>
    </row>
    <row r="137" spans="1:40" ht="12.75">
      <c r="A137" s="73" t="s">
        <v>1709</v>
      </c>
      <c r="E137" s="517"/>
      <c r="F137" s="518"/>
      <c r="H137" s="73" t="s">
        <v>236</v>
      </c>
      <c r="O137" s="517"/>
      <c r="P137" s="518"/>
      <c r="R137" s="73" t="s">
        <v>1707</v>
      </c>
      <c r="T137" s="523"/>
      <c r="U137" s="375"/>
      <c r="V137" s="375"/>
      <c r="W137" s="375"/>
      <c r="X137" s="375"/>
      <c r="Y137" s="375"/>
      <c r="Z137" s="375"/>
      <c r="AA137" s="375"/>
      <c r="AB137" s="375"/>
      <c r="AC137" s="375"/>
      <c r="AD137" s="375"/>
      <c r="AE137" s="375"/>
      <c r="AF137" s="375"/>
      <c r="AG137" s="375"/>
      <c r="AH137" s="375"/>
      <c r="AI137" s="375"/>
      <c r="AJ137" s="375"/>
      <c r="AK137" s="375"/>
      <c r="AL137" s="375"/>
      <c r="AM137" s="375"/>
      <c r="AN137" s="376"/>
    </row>
    <row r="138" spans="1:16" ht="1.5" customHeight="1">
      <c r="A138" s="73"/>
      <c r="H138" s="73"/>
      <c r="I138" s="125" t="b">
        <v>0</v>
      </c>
      <c r="P138" s="73"/>
    </row>
    <row r="139" spans="1:4" s="125" customFormat="1" ht="1.5" customHeight="1">
      <c r="A139" s="135">
        <v>66</v>
      </c>
      <c r="B139" s="125" t="b">
        <v>1</v>
      </c>
      <c r="C139" s="125" t="b">
        <v>0</v>
      </c>
      <c r="D139" s="125" t="b">
        <v>0</v>
      </c>
    </row>
    <row r="140" ht="14.25" customHeight="1">
      <c r="A140" s="127" t="s">
        <v>724</v>
      </c>
    </row>
    <row r="141" spans="1:39" s="21" customFormat="1" ht="15" customHeight="1">
      <c r="A141" s="81">
        <f>MIN('BOGEN "ALLE"'!$AP$22:$AR$22)-A150</f>
        <v>15</v>
      </c>
      <c r="B141" s="138" t="str">
        <f>IF(AI133="GESCHOSS"," ",IF(AI133="GESCHOSS1"," ","SCHLAG"))</f>
        <v>SCHLAG</v>
      </c>
      <c r="C141" s="139"/>
      <c r="D141" s="139"/>
      <c r="E141" s="139" t="str">
        <f>IF(AC147=" "," ","WURF")</f>
        <v> </v>
      </c>
      <c r="F141" s="139"/>
      <c r="G141" s="139"/>
      <c r="H141" s="139"/>
      <c r="I141" s="139" t="str">
        <f>IF(O137=0," ","BES.")</f>
        <v> </v>
      </c>
      <c r="J141" s="168"/>
      <c r="K141" s="532" t="str">
        <f>IF(K142=" "," ","MOD SPEZ.")</f>
        <v> </v>
      </c>
      <c r="L141" s="533"/>
      <c r="M141" s="533"/>
      <c r="N141" s="534"/>
      <c r="O141" s="532" t="str">
        <f>IF(AND(O142=" ",Q142=" ")," ","MOD.ST")</f>
        <v>MOD.ST</v>
      </c>
      <c r="P141" s="533"/>
      <c r="Q141" s="534"/>
      <c r="R141" s="532" t="str">
        <f>IF(R142=" "," ","MOD GE")</f>
        <v>MOD GE</v>
      </c>
      <c r="S141" s="533"/>
      <c r="T141" s="533"/>
      <c r="U141" s="534"/>
      <c r="V141" s="532" t="str">
        <f>IF(E137=0," ","MOD. WAFFE")</f>
        <v> </v>
      </c>
      <c r="W141" s="533"/>
      <c r="X141" s="533"/>
      <c r="Y141" s="533"/>
      <c r="Z141" s="534"/>
      <c r="AA141" s="532" t="str">
        <f>IF(O137=0," ","MOD WAFFE SPEZIELL")</f>
        <v> </v>
      </c>
      <c r="AB141" s="533"/>
      <c r="AC141" s="533"/>
      <c r="AD141" s="533"/>
      <c r="AE141" s="533"/>
      <c r="AF141" s="533"/>
      <c r="AG141" s="533"/>
      <c r="AH141" s="533"/>
      <c r="AI141" s="533"/>
      <c r="AJ141" s="533"/>
      <c r="AK141" s="533"/>
      <c r="AL141" s="533"/>
      <c r="AM141" s="534"/>
    </row>
    <row r="142" spans="2:39" s="21" customFormat="1" ht="15" customHeight="1">
      <c r="B142" s="142">
        <f>IF(AI133="GESCHOSS"," ",IF(AI133="Geschoss1"," ",IF(A139=1," ",A141-(IF(K142=" ",0,K142))-(IF(O142=" ",0,O142))-(IF(V142=" ",0,V142)))))</f>
        <v>13</v>
      </c>
      <c r="C142" s="99"/>
      <c r="D142" s="128"/>
      <c r="E142" s="136" t="str">
        <f>IF(A139=1," ",IF(AC147=" "," ",IF(AI133="GESCHOSS1",A141-(IF(K142=" ",0,K142))-(IF(R142=" ",0,R142))-(IF(V142=" ","0",V142)),A141-(IF(K142=" ",0,K142))-(IF(O142=" ",0,O142))-(IF(R142=" ",0,R142))-(IF(V142=" ","0",V142)))))</f>
        <v> </v>
      </c>
      <c r="F142" s="99"/>
      <c r="G142" s="99"/>
      <c r="H142" s="128"/>
      <c r="I142" s="141" t="str">
        <f>IF(O137=0," ",IF(AI133="Geschoss1",A141-(IF(O142=" ",0,O142))-(IF(AA142=" ",0,AA142))-(IF(AND(AC147&lt;&gt;" ",R142&lt;&gt;" "),R142,0)),A141-(IF(K142=" ",0,K142))-(IF(O142=" ",0,O142))-(IF(AA142=" ",0,AA142))-(IF(AND(AC147&lt;&gt;" ",R142&lt;&gt;" "),R142,0))))</f>
        <v> </v>
      </c>
      <c r="J142" s="126"/>
      <c r="K142" s="515" t="str">
        <f>IF($AN$12&lt;-2," ",IF($C139=TRUE,"+1"," "))</f>
        <v> </v>
      </c>
      <c r="L142" s="537"/>
      <c r="M142" s="509" t="str">
        <f>IF($AN$12&lt;-2," ",IF($C139=TRUE,"+2"," "))</f>
        <v> </v>
      </c>
      <c r="N142" s="514"/>
      <c r="O142" s="167" t="str">
        <f>IF('BOGEN "ALLE"'!$G$26="NORMAL"," ",'BOGEN "ALLE"'!$G$26)</f>
        <v>+2</v>
      </c>
      <c r="P142" s="136"/>
      <c r="Q142" s="166" t="str">
        <f>IF('BOGEN "ALLE"'!$K$26="KEINE"," ",'BOGEN "ALLE"'!$K$26)</f>
        <v>+3</v>
      </c>
      <c r="R142" s="515" t="str">
        <f>IF('BOGEN "ALLE"'!$K$30="KEINE"," ",'BOGEN "ALLE"'!$K$30)</f>
        <v>+3</v>
      </c>
      <c r="S142" s="509"/>
      <c r="T142" s="509"/>
      <c r="U142" s="516"/>
      <c r="V142" s="515" t="str">
        <f>IF(E137=""," ",E137)</f>
        <v> </v>
      </c>
      <c r="W142" s="509"/>
      <c r="X142" s="509"/>
      <c r="Y142" s="509"/>
      <c r="Z142" s="516"/>
      <c r="AA142" s="526" t="str">
        <f>IF(O137=0," ",O137)</f>
        <v> </v>
      </c>
      <c r="AB142" s="500"/>
      <c r="AC142" s="527" t="str">
        <f>IF(O137=0," ","gg.")</f>
        <v> </v>
      </c>
      <c r="AD142" s="527"/>
      <c r="AE142" s="509" t="str">
        <f>IF(T137=0," ",T137)</f>
        <v> </v>
      </c>
      <c r="AF142" s="529"/>
      <c r="AG142" s="529"/>
      <c r="AH142" s="529"/>
      <c r="AI142" s="529"/>
      <c r="AJ142" s="529"/>
      <c r="AK142" s="529"/>
      <c r="AL142" s="529"/>
      <c r="AM142" s="530"/>
    </row>
    <row r="143" spans="2:39" s="21" customFormat="1" ht="4.5" customHeight="1">
      <c r="B143" s="149"/>
      <c r="C143" s="86"/>
      <c r="D143" s="139"/>
      <c r="E143" s="149"/>
      <c r="F143" s="86"/>
      <c r="G143" s="86"/>
      <c r="H143" s="139"/>
      <c r="I143" s="150"/>
      <c r="J143" s="86"/>
      <c r="K143" s="511"/>
      <c r="L143" s="511"/>
      <c r="M143" s="511">
        <f>IF(M142=" ",0,M142)</f>
        <v>0</v>
      </c>
      <c r="N143" s="511"/>
      <c r="O143" s="299"/>
      <c r="P143" s="300"/>
      <c r="Q143" s="298" t="str">
        <f>IF(Q142=" ",0,Q142)</f>
        <v>+3</v>
      </c>
      <c r="R143" s="299"/>
      <c r="S143" s="299"/>
      <c r="T143" s="299"/>
      <c r="U143" s="299"/>
      <c r="V143" s="511">
        <f>IF(V142=" ",0,V142)</f>
        <v>0</v>
      </c>
      <c r="W143" s="511"/>
      <c r="X143" s="511"/>
      <c r="Y143" s="511"/>
      <c r="Z143" s="511"/>
      <c r="AA143" s="519">
        <f>IF(AA142=" ",0,AA142)</f>
        <v>0</v>
      </c>
      <c r="AB143" s="519"/>
      <c r="AC143" s="301"/>
      <c r="AD143" s="151"/>
      <c r="AE143" s="152"/>
      <c r="AF143" s="153"/>
      <c r="AG143" s="153"/>
      <c r="AH143" s="153"/>
      <c r="AI143" s="153"/>
      <c r="AJ143" s="153"/>
      <c r="AK143" s="153"/>
      <c r="AL143" s="153"/>
      <c r="AM143" s="148"/>
    </row>
    <row r="144" spans="1:49" s="21" customFormat="1" ht="14.25" customHeight="1">
      <c r="A144" s="127" t="s">
        <v>235</v>
      </c>
      <c r="B144" s="131"/>
      <c r="C144" s="80"/>
      <c r="D144" s="146"/>
      <c r="E144" s="131"/>
      <c r="F144" s="80"/>
      <c r="G144" s="80"/>
      <c r="H144" s="146"/>
      <c r="I144" s="147"/>
      <c r="J144" s="80"/>
      <c r="K144" s="132"/>
      <c r="L144" s="132"/>
      <c r="M144" s="132"/>
      <c r="N144" s="132"/>
      <c r="O144" s="131"/>
      <c r="P144" s="131"/>
      <c r="Q144" s="131"/>
      <c r="R144" s="131"/>
      <c r="S144" s="131"/>
      <c r="T144" s="131"/>
      <c r="U144" s="131"/>
      <c r="V144" s="132"/>
      <c r="W144" s="132"/>
      <c r="X144" s="132"/>
      <c r="Y144" s="132"/>
      <c r="Z144" s="132"/>
      <c r="AA144" s="147"/>
      <c r="AB144" s="147"/>
      <c r="AC144" s="144"/>
      <c r="AD144" s="144"/>
      <c r="AE144" s="133"/>
      <c r="AF144" s="148"/>
      <c r="AG144" s="148"/>
      <c r="AH144" s="148"/>
      <c r="AI144" s="148"/>
      <c r="AJ144" s="148"/>
      <c r="AK144" s="148"/>
      <c r="AL144" s="148"/>
      <c r="AM144" s="148"/>
      <c r="AO144" s="146"/>
      <c r="AP144" s="146"/>
      <c r="AQ144" s="146"/>
      <c r="AR144" s="146"/>
      <c r="AS144" s="146"/>
      <c r="AT144" s="146"/>
      <c r="AU144" s="146"/>
      <c r="AV144" s="146"/>
      <c r="AW144" s="146"/>
    </row>
    <row r="145" spans="1:49" s="21" customFormat="1" ht="15" customHeight="1">
      <c r="A145" s="81">
        <f>IF(K147=" "," ",VLOOKUP($A139,Waffen!$B$4:$Q$209,6))</f>
        <v>3</v>
      </c>
      <c r="B145" s="496" t="str">
        <f>IF(K147=" "," ","INITATIVE EINHÄNDIG")</f>
        <v>INITATIVE EINHÄNDIG</v>
      </c>
      <c r="C145" s="497"/>
      <c r="D145" s="497"/>
      <c r="E145" s="497"/>
      <c r="F145" s="497"/>
      <c r="G145" s="497"/>
      <c r="H145" s="497"/>
      <c r="I145" s="497"/>
      <c r="J145" s="497"/>
      <c r="K145" s="170" t="str">
        <f>IF(K147=" "," ","SCHADEN K-M EINHÄNDIG")</f>
        <v>SCHADEN K-M EINHÄNDIG</v>
      </c>
      <c r="L145" s="136"/>
      <c r="M145" s="136"/>
      <c r="N145" s="136"/>
      <c r="O145" s="136"/>
      <c r="P145" s="136"/>
      <c r="Q145" s="136"/>
      <c r="R145" s="136"/>
      <c r="S145" s="136"/>
      <c r="T145" s="170" t="str">
        <f>IF(K147=" "," ","SCHADEN G EINHÄNDIG")</f>
        <v>SCHADEN G EINHÄNDIG</v>
      </c>
      <c r="U145" s="137"/>
      <c r="V145" s="137"/>
      <c r="W145" s="137"/>
      <c r="X145" s="137"/>
      <c r="Y145" s="137"/>
      <c r="Z145" s="137"/>
      <c r="AA145" s="136"/>
      <c r="AB145" s="136"/>
      <c r="AC145" s="158" t="str">
        <f>IF(AC147=" "," ","SCHUSSFOLGE und REICHWEITEN")</f>
        <v> </v>
      </c>
      <c r="AK145" s="148"/>
      <c r="AL145" s="148"/>
      <c r="AM145" s="148"/>
      <c r="AO145" s="146"/>
      <c r="AP145" s="80"/>
      <c r="AQ145" s="80"/>
      <c r="AR145" s="146"/>
      <c r="AS145" s="146"/>
      <c r="AT145" s="146"/>
      <c r="AU145" s="146"/>
      <c r="AV145" s="146"/>
      <c r="AW145" s="80"/>
    </row>
    <row r="146" spans="2:49" s="21" customFormat="1" ht="15" customHeight="1">
      <c r="B146" s="138" t="str">
        <f>IF(AI133="GESCHOSS"," ",IF(AI133="GESCHOSS1"," ",IF(K147=" "," ","SCHLAG")))</f>
        <v>SCHLAG</v>
      </c>
      <c r="C146" s="139"/>
      <c r="D146" s="139"/>
      <c r="E146" s="139" t="str">
        <f>IF(AC147=" "," ",IF(K147=" "," ","WURF"))</f>
        <v> </v>
      </c>
      <c r="F146" s="139"/>
      <c r="G146" s="139"/>
      <c r="H146" s="139" t="str">
        <f>IF(O137=0," ",IF(K147=" "," ","BES."))</f>
        <v> </v>
      </c>
      <c r="I146" s="86"/>
      <c r="J146" s="140"/>
      <c r="K146" s="498" t="str">
        <f>IF(K147=" "," ","BASIS")</f>
        <v>BASIS</v>
      </c>
      <c r="L146" s="345"/>
      <c r="M146" s="345"/>
      <c r="N146" s="499" t="str">
        <f>IF(K147=" "," ","NORMAL")</f>
        <v>NORMAL</v>
      </c>
      <c r="O146" s="499"/>
      <c r="P146" s="499"/>
      <c r="Q146" s="139"/>
      <c r="R146" s="499" t="str">
        <f>IF(R147=" "," ","BES.")</f>
        <v> </v>
      </c>
      <c r="S146" s="346"/>
      <c r="T146" s="498" t="str">
        <f>IF(K147=" "," ","BASIS")</f>
        <v>BASIS</v>
      </c>
      <c r="U146" s="345"/>
      <c r="V146" s="345"/>
      <c r="W146" s="499" t="str">
        <f>IF(K147=" "," ","NORMAL")</f>
        <v>NORMAL</v>
      </c>
      <c r="X146" s="499"/>
      <c r="Y146" s="499"/>
      <c r="Z146" s="139"/>
      <c r="AA146" s="499" t="str">
        <f>IF(AA147=" "," ","BES.")</f>
        <v> </v>
      </c>
      <c r="AB146" s="346"/>
      <c r="AC146" s="532" t="str">
        <f>IF(AC147=" "," ","SF")</f>
        <v> </v>
      </c>
      <c r="AD146" s="346"/>
      <c r="AF146" s="532" t="str">
        <f>IF(AF147=" "," ","K")</f>
        <v> </v>
      </c>
      <c r="AG146" s="346"/>
      <c r="AI146" s="532" t="str">
        <f>IF(AI147=" "," ","M")</f>
        <v> </v>
      </c>
      <c r="AJ146" s="346"/>
      <c r="AL146" s="532" t="str">
        <f>IF(AL147=" "," ","G")</f>
        <v> </v>
      </c>
      <c r="AM146" s="346"/>
      <c r="AO146" s="61"/>
      <c r="AP146" s="145"/>
      <c r="AQ146" s="80"/>
      <c r="AR146" s="146"/>
      <c r="AS146" s="146"/>
      <c r="AT146" s="146"/>
      <c r="AU146" s="146"/>
      <c r="AV146" s="146"/>
      <c r="AW146" s="146"/>
    </row>
    <row r="147" spans="2:39" s="21" customFormat="1" ht="15" customHeight="1">
      <c r="B147" s="157">
        <f>IF(AI133="GESCHOSS"," ",IF(K147=" "," ",IF((A145-(IF(V142=" ",0,V142)))&lt;=0,0,A145-(IF(V142=" ",0,V142)))))</f>
        <v>3</v>
      </c>
      <c r="C147" s="502">
        <f>IF(AI133&lt;&gt;"GESCHOSS",IF(K147=" "," ",(IF(R142=" "," ",R142-(2*R142))))," ")</f>
        <v>-3</v>
      </c>
      <c r="D147" s="538"/>
      <c r="E147" s="157" t="str">
        <f>IF(AC147=" "," ",IF(K147=" "," ",IF((A145-IF(V142=" ",0,V142))&lt;=0,0,A145-(IF(V142=" ",0,V142)))))</f>
        <v> </v>
      </c>
      <c r="F147" s="502" t="str">
        <f>IF(K147=" "," ",IF(AC147=" "," ",(IF(R142=" "," ",R142-(2*R142)))))</f>
        <v> </v>
      </c>
      <c r="G147" s="538"/>
      <c r="H147" s="156" t="str">
        <f>IF(O137=0," ",IF(K147=" "," ",IF((A145-(IF(AA142=" ",0,AA142)))&lt;=0,0,A145-(IF(AA142=" ",0,AA142)))))</f>
        <v> </v>
      </c>
      <c r="I147" s="502" t="str">
        <f>IF(O137=0," ",IF(K147=" "," ",(IF(R142=" "," ",R142-(2*R142)))))</f>
        <v> </v>
      </c>
      <c r="J147" s="503"/>
      <c r="K147" s="512" t="str">
        <f>IF(VLOOKUP(A139,Waffen!$B$4:$M$177,8)=0," ",VLOOKUP($A139,Waffen!$B$4:$Q$209,8))</f>
        <v>1W6</v>
      </c>
      <c r="L147" s="513"/>
      <c r="M147" s="510"/>
      <c r="N147" s="509">
        <f>IF(K147=" "," ",IF(AI133="GESCHOSS1",0+V143,IF(AND(AI133="+1",$D139=TRUE),0+M143+Q143+V143,0+M143+Q143+V143)))</f>
        <v>3</v>
      </c>
      <c r="O147" s="509"/>
      <c r="P147" s="509"/>
      <c r="Q147" s="129"/>
      <c r="R147" s="509" t="str">
        <f>IF(O137=0," ",IF(K147=" "," ",IF(AI133="Geschoss1",0+AA143,IF(AND(AI133="+1",$D139=TRUE),0+M143+Q143+AA143,0+M143+Q143+AA143))))</f>
        <v> </v>
      </c>
      <c r="S147" s="516"/>
      <c r="T147" s="504" t="str">
        <f>IF(VLOOKUP(A139,Waffen!$B$4:$M$177,9)=0," ",VLOOKUP($A139,Waffen!$B$4:$Q$209,9))</f>
        <v>1W8</v>
      </c>
      <c r="U147" s="505"/>
      <c r="V147" s="351"/>
      <c r="W147" s="509">
        <f>IF(K147=" "," ",IF(AI133="GESCHOSS1",0+V143,IF(AND(AI133="+1",$D139=TRUE),0+M143+Q143+V143,0+M143+Q143+V143)))</f>
        <v>3</v>
      </c>
      <c r="X147" s="509"/>
      <c r="Y147" s="510"/>
      <c r="Z147" s="129"/>
      <c r="AA147" s="509" t="str">
        <f>IF(O137=0," ",IF(K147=" "," ",IF(AI133="Geschoss1",0+AA143,IF(AND(AI133="+1",$D139=TRUE),0+M143+Q143+AA143,0+M143+Q143+AA143))))</f>
        <v> </v>
      </c>
      <c r="AB147" s="516"/>
      <c r="AC147" s="528" t="str">
        <f>IF(VLOOKUP($A139,Waffen!$B$4:$Q$200,13)=0," ",VLOOKUP($A139,Waffen!$B$4:$Q$200,13))</f>
        <v> </v>
      </c>
      <c r="AD147" s="324"/>
      <c r="AF147" s="528" t="str">
        <f>IF(VLOOKUP($A139,Waffen!$B$4:$Q$200,14)=0," ",VLOOKUP($A139,Waffen!$B$4:$Q$200,14))</f>
        <v> </v>
      </c>
      <c r="AG147" s="324"/>
      <c r="AI147" s="528" t="str">
        <f>IF(VLOOKUP($A139,Waffen!$B$4:$Q$200,15)=0," ",VLOOKUP($A139,Waffen!$B$4:$Q$200,15))</f>
        <v> </v>
      </c>
      <c r="AJ147" s="324"/>
      <c r="AL147" s="528" t="str">
        <f>IF(VLOOKUP($A139,Waffen!$B$4:$Q$200,16)=0," ",VLOOKUP($A139,Waffen!$B$4:$Q$200,16))</f>
        <v> </v>
      </c>
      <c r="AM147" s="324"/>
    </row>
    <row r="148" spans="1:28" s="21" customFormat="1" ht="15" customHeight="1">
      <c r="A148" s="81" t="str">
        <f>IF(Waffenbogen!K150=" "," ",IF(AI133="GESCHOSS",VLOOKUP($A139,Waffen!$B$4:$Q$209,7),IF(AI133="GESCHOSS1",VLOOKUP($A139,Waffen!$B$4:$Q$209,7),IF(AND(AI133="JA",D139=TRUE,$AN$12=-2),VLOOKUP($A139,Waffen!$B$4:$Q$209,7)-3,VLOOKUP($A139,Waffen!$B$4:$Q$209,7)))))</f>
        <v> </v>
      </c>
      <c r="B148" s="520" t="str">
        <f>IF(K150=" "," ","INITATIVE BEIHÄNDIG")</f>
        <v> </v>
      </c>
      <c r="C148" s="521"/>
      <c r="D148" s="521"/>
      <c r="E148" s="521"/>
      <c r="F148" s="521"/>
      <c r="G148" s="521"/>
      <c r="H148" s="521"/>
      <c r="I148" s="521"/>
      <c r="J148" s="521"/>
      <c r="K148" s="169" t="str">
        <f>IF(K150=" "," ","SCHADEN K-M BEIDHÄNDIG")</f>
        <v> </v>
      </c>
      <c r="L148" s="132"/>
      <c r="M148" s="132"/>
      <c r="N148" s="147"/>
      <c r="O148" s="147"/>
      <c r="P148" s="144"/>
      <c r="Q148" s="144"/>
      <c r="R148" s="133"/>
      <c r="S148" s="148"/>
      <c r="T148" s="169" t="str">
        <f>IF(T150=" "," ","SCHADEN G BEIDHÄNDIG")</f>
        <v> </v>
      </c>
      <c r="U148" s="132"/>
      <c r="V148" s="132"/>
      <c r="W148" s="147"/>
      <c r="X148" s="147"/>
      <c r="Y148" s="144"/>
      <c r="Z148" s="144"/>
      <c r="AA148" s="133"/>
      <c r="AB148" s="148"/>
    </row>
    <row r="149" spans="2:28" s="21" customFormat="1" ht="14.25" customHeight="1">
      <c r="B149" s="138" t="str">
        <f>IF(K150=" "," ",IF(AI133="GESCHOSS"," ",IF(AI133="GESCHOSS1"," ","SCHLAG")))</f>
        <v> </v>
      </c>
      <c r="C149" s="139"/>
      <c r="D149" s="139"/>
      <c r="E149" s="139" t="str">
        <f>IF(K150=" "," ",IF(AC147=" "," ","WURF"))</f>
        <v> </v>
      </c>
      <c r="F149" s="139"/>
      <c r="G149" s="139"/>
      <c r="H149" s="139" t="str">
        <f>IF(K150=" "," ",IF(O137=0," ","BES."))</f>
        <v> </v>
      </c>
      <c r="J149" s="87"/>
      <c r="K149" s="498" t="str">
        <f>IF(K150=" "," ","BASIS")</f>
        <v> </v>
      </c>
      <c r="L149" s="345"/>
      <c r="M149" s="345"/>
      <c r="N149" s="499" t="str">
        <f>IF(K150=" "," ","NORMAL")</f>
        <v> </v>
      </c>
      <c r="O149" s="499"/>
      <c r="P149" s="499"/>
      <c r="Q149" s="139"/>
      <c r="R149" s="499" t="str">
        <f>IF(R150=" "," ","BES.")</f>
        <v> </v>
      </c>
      <c r="S149" s="346"/>
      <c r="T149" s="498" t="str">
        <f>IF(K150=" "," ","BASIS")</f>
        <v> </v>
      </c>
      <c r="U149" s="345"/>
      <c r="V149" s="345"/>
      <c r="W149" s="499" t="str">
        <f>IF(K150=" "," ","NORMAL")</f>
        <v> </v>
      </c>
      <c r="X149" s="499"/>
      <c r="Y149" s="499"/>
      <c r="Z149" s="139"/>
      <c r="AA149" s="499" t="str">
        <f>IF(AA150=" "," ","BES.")</f>
        <v> </v>
      </c>
      <c r="AB149" s="346"/>
    </row>
    <row r="150" spans="1:39" s="130" customFormat="1" ht="12.75">
      <c r="A150" s="155">
        <f>IF($B139=TRUE,0,$AN$12)</f>
        <v>0</v>
      </c>
      <c r="B150" s="157" t="str">
        <f>IF(B149=" "," ",IF((A148-(IF(V142=" ",0,(IF(V142=" ",0,V142)))))&lt;=0,0,A148-(IF(V142=" ",0,V142))))</f>
        <v> </v>
      </c>
      <c r="C150" s="502" t="str">
        <f>IF(AI133="GESCHOSS"," ",IF(AI133="GESCHOSS1"," ",IF(K150=" "," ",(IF(R142=" "," ",R142-(2*R142))))))</f>
        <v> </v>
      </c>
      <c r="D150" s="503"/>
      <c r="E150" s="157" t="str">
        <f>IF(AND(K150&lt;&gt;" ",AC147&lt;&gt;" "),IF((A148-(IF(V142=" ",0,V142)))&lt;=0,0,A148-(IF(V142=" ",0,V142)))," ")</f>
        <v> </v>
      </c>
      <c r="F150" s="502" t="str">
        <f>IF(K150=" "," ",IF(AC147=" "," ",(IF(R142=" "," ",R142-(2*R142)))))</f>
        <v> </v>
      </c>
      <c r="G150" s="503"/>
      <c r="H150" s="157" t="str">
        <f>IF(O137=0," ",IF(K150=" "," ",IF((A148-(IF(V142=" ",0,V142)))&lt;=0,0,A148-(IF(V142=" ",0,V142)))))</f>
        <v> </v>
      </c>
      <c r="I150" s="506" t="str">
        <f>IF(K150=" "," ",IF(AND(O137=0,R142=" ")," ",(IF(R142=" "," ",R142-(2*R142)))))</f>
        <v> </v>
      </c>
      <c r="J150" s="507"/>
      <c r="K150" s="504" t="str">
        <f>IF(IF(VLOOKUP(A139,Waffen!$B$4:$M$177,10)=0,0,VLOOKUP($A139,Waffen!$B$4:$Q$209,10))=0," ",VLOOKUP($A139,Waffen!$B$4:$Q$209,10))</f>
        <v> </v>
      </c>
      <c r="L150" s="505"/>
      <c r="M150" s="351"/>
      <c r="N150" s="500" t="str">
        <f>IF(K150=" "," ",IF(AI133="GESCHOSS1",0+V143,IF(AND(AI133="+1",$D139=TRUE),0+M143+Q143+V143+1,0+M143+Q143+V143)))</f>
        <v> </v>
      </c>
      <c r="O150" s="500"/>
      <c r="P150" s="501"/>
      <c r="Q150" s="129"/>
      <c r="R150" s="500" t="str">
        <f>IF(K150=" "," ",IF(AI133="GESCHOSS1",0+AA143,IF(AND(AI133="+1",$D139=TRUE),0+M143+Q143+AA143+1,0+M143+Q143+AA143)))</f>
        <v> </v>
      </c>
      <c r="S150" s="508"/>
      <c r="T150" s="504" t="str">
        <f>IF(IF(AI133="NEIN",0,VLOOKUP($A139,Waffen!$B$4:$Q$209,11))=0," ",VLOOKUP($A139,Waffen!$B$4:$Q$209,11))</f>
        <v> </v>
      </c>
      <c r="U150" s="505"/>
      <c r="V150" s="351"/>
      <c r="W150" s="500" t="str">
        <f>IF(K150=" "," ",IF(AI133="GESCHOSS1",0+V143,IF(AND(AI133="+1",$D139=TRUE),0+M143+Q143+V143+1,0+M143+Q143+V143)))</f>
        <v> </v>
      </c>
      <c r="X150" s="500"/>
      <c r="Y150" s="501"/>
      <c r="Z150" s="129"/>
      <c r="AA150" s="500" t="str">
        <f>IF(K150=" "," ",IF(AI133="GESCHOSS1",0+AA143,IF(AND(AI133="+1",$D139=TRUE),0+M143+Q143+AA143+1,0+M143+Q143+AA143)))</f>
        <v> </v>
      </c>
      <c r="AB150" s="508"/>
      <c r="AE150" s="531"/>
      <c r="AF150" s="531"/>
      <c r="AG150" s="531"/>
      <c r="AH150" s="531"/>
      <c r="AK150" s="79"/>
      <c r="AL150" s="79"/>
      <c r="AM150" s="79"/>
    </row>
    <row r="151" s="130" customFormat="1" ht="10.5"/>
    <row r="152" spans="1:39" ht="14.25" customHeight="1">
      <c r="A152" s="65"/>
      <c r="B152" s="154"/>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row>
    <row r="153" spans="1:40" ht="12.75">
      <c r="A153" s="522"/>
      <c r="B153" s="522"/>
      <c r="C153" s="522"/>
      <c r="D153" s="522"/>
      <c r="E153" s="522"/>
      <c r="F153" s="522"/>
      <c r="G153" s="522"/>
      <c r="H153" s="522"/>
      <c r="I153" s="522"/>
      <c r="J153" s="522"/>
      <c r="K153" s="522"/>
      <c r="L153" s="522"/>
      <c r="M153" s="522"/>
      <c r="N153" s="522"/>
      <c r="O153" s="522"/>
      <c r="P153" s="522"/>
      <c r="Q153" s="522"/>
      <c r="R153" s="522"/>
      <c r="S153" s="522"/>
      <c r="T153" s="522"/>
      <c r="U153" s="522"/>
      <c r="V153" s="522"/>
      <c r="AC153" s="297" t="s">
        <v>1708</v>
      </c>
      <c r="AD153" s="281"/>
      <c r="AE153" s="281"/>
      <c r="AF153" s="281"/>
      <c r="AG153" s="281"/>
      <c r="AH153" s="281"/>
      <c r="AI153" s="535" t="str">
        <f>VLOOKUP($A159,Waffen!$B$4:$Q$209,12)</f>
        <v>NEIN</v>
      </c>
      <c r="AJ153" s="535"/>
      <c r="AK153" s="536"/>
      <c r="AL153" s="536"/>
      <c r="AM153" s="536"/>
      <c r="AN153" s="536"/>
    </row>
    <row r="154" spans="1:29" ht="3" customHeight="1">
      <c r="A154" s="143"/>
      <c r="B154" s="143"/>
      <c r="C154" s="143"/>
      <c r="D154" s="143"/>
      <c r="E154" s="143"/>
      <c r="F154" s="143"/>
      <c r="G154" s="143"/>
      <c r="H154" s="143"/>
      <c r="I154" s="143"/>
      <c r="J154" s="143"/>
      <c r="K154" s="143"/>
      <c r="L154" s="143"/>
      <c r="M154" s="143"/>
      <c r="N154" s="143"/>
      <c r="O154" s="143"/>
      <c r="P154" s="143"/>
      <c r="Q154" s="143"/>
      <c r="R154" s="143"/>
      <c r="S154" s="143"/>
      <c r="T154" s="143"/>
      <c r="U154" s="143"/>
      <c r="V154" s="143"/>
      <c r="AC154" s="130"/>
    </row>
    <row r="155" spans="1:34" ht="12.75">
      <c r="A155" s="16" t="s">
        <v>1710</v>
      </c>
      <c r="B155" s="523" t="str">
        <f>VLOOKUP($A159,Waffen!$B$4:$Q$209,2)</f>
        <v>Dolch, Knochen-</v>
      </c>
      <c r="C155" s="524"/>
      <c r="D155" s="524"/>
      <c r="E155" s="524"/>
      <c r="F155" s="524"/>
      <c r="G155" s="524"/>
      <c r="H155" s="524"/>
      <c r="I155" s="524"/>
      <c r="J155" s="524"/>
      <c r="K155" s="524"/>
      <c r="L155" s="524"/>
      <c r="M155" s="524"/>
      <c r="N155" s="524"/>
      <c r="O155" s="524"/>
      <c r="P155" s="524"/>
      <c r="Q155" s="525"/>
      <c r="S155" s="134" t="s">
        <v>1711</v>
      </c>
      <c r="Z155" s="523" t="str">
        <f>VLOOKUP($A159,Waffen!$B$4:$Q$209,5)</f>
        <v>S</v>
      </c>
      <c r="AA155" s="525"/>
      <c r="AC155" s="73" t="s">
        <v>889</v>
      </c>
      <c r="AG155" s="523" t="str">
        <f>VLOOKUP($A159,Waffen!$B$4:$Q$209,4)</f>
        <v>M</v>
      </c>
      <c r="AH155" s="525"/>
    </row>
    <row r="156" spans="1:34" ht="3" customHeight="1">
      <c r="A156" s="16"/>
      <c r="B156" s="64"/>
      <c r="C156" s="64"/>
      <c r="D156" s="64"/>
      <c r="E156" s="64"/>
      <c r="F156" s="64"/>
      <c r="G156" s="64"/>
      <c r="H156" s="64"/>
      <c r="I156" s="64"/>
      <c r="J156" s="64"/>
      <c r="K156" s="64"/>
      <c r="L156" s="64"/>
      <c r="M156" s="64"/>
      <c r="N156" s="64"/>
      <c r="O156" s="64"/>
      <c r="P156" s="64"/>
      <c r="Q156" s="64"/>
      <c r="S156" s="134"/>
      <c r="Z156" s="64"/>
      <c r="AA156" s="64"/>
      <c r="AC156" s="73"/>
      <c r="AG156" s="64"/>
      <c r="AH156" s="64"/>
    </row>
    <row r="157" spans="1:40" ht="12.75">
      <c r="A157" s="73" t="s">
        <v>1709</v>
      </c>
      <c r="E157" s="517"/>
      <c r="F157" s="518"/>
      <c r="H157" s="73" t="s">
        <v>236</v>
      </c>
      <c r="O157" s="517"/>
      <c r="P157" s="518"/>
      <c r="R157" s="73" t="s">
        <v>1707</v>
      </c>
      <c r="T157" s="523"/>
      <c r="U157" s="375"/>
      <c r="V157" s="375"/>
      <c r="W157" s="375"/>
      <c r="X157" s="375"/>
      <c r="Y157" s="375"/>
      <c r="Z157" s="375"/>
      <c r="AA157" s="375"/>
      <c r="AB157" s="375"/>
      <c r="AC157" s="375"/>
      <c r="AD157" s="375"/>
      <c r="AE157" s="375"/>
      <c r="AF157" s="375"/>
      <c r="AG157" s="375"/>
      <c r="AH157" s="375"/>
      <c r="AI157" s="375"/>
      <c r="AJ157" s="375"/>
      <c r="AK157" s="375"/>
      <c r="AL157" s="375"/>
      <c r="AM157" s="375"/>
      <c r="AN157" s="376"/>
    </row>
    <row r="158" spans="1:16" ht="1.5" customHeight="1">
      <c r="A158" s="73"/>
      <c r="H158" s="73"/>
      <c r="I158" s="125" t="b">
        <v>0</v>
      </c>
      <c r="P158" s="73"/>
    </row>
    <row r="159" spans="1:4" s="125" customFormat="1" ht="1.5" customHeight="1">
      <c r="A159" s="135">
        <v>22</v>
      </c>
      <c r="B159" s="125" t="b">
        <v>1</v>
      </c>
      <c r="C159" s="125" t="b">
        <v>0</v>
      </c>
      <c r="D159" s="125" t="b">
        <v>0</v>
      </c>
    </row>
    <row r="160" ht="14.25" customHeight="1">
      <c r="A160" s="127" t="s">
        <v>724</v>
      </c>
    </row>
    <row r="161" spans="1:39" s="21" customFormat="1" ht="15" customHeight="1">
      <c r="A161" s="81">
        <f>MIN('BOGEN "ALLE"'!$AP$22:$AR$22)-A170</f>
        <v>15</v>
      </c>
      <c r="B161" s="138" t="str">
        <f>IF(AI153="GESCHOSS"," ",IF(AI153="GESCHOSS1"," ","SCHLAG"))</f>
        <v>SCHLAG</v>
      </c>
      <c r="C161" s="139"/>
      <c r="D161" s="139"/>
      <c r="E161" s="139" t="str">
        <f>IF(AC167=" "," ","WURF")</f>
        <v>WURF</v>
      </c>
      <c r="F161" s="139"/>
      <c r="G161" s="139"/>
      <c r="H161" s="139"/>
      <c r="I161" s="139" t="str">
        <f>IF(O157=0," ","BES.")</f>
        <v> </v>
      </c>
      <c r="J161" s="168"/>
      <c r="K161" s="532" t="str">
        <f>IF(K162=" "," ","MOD SPEZ.")</f>
        <v> </v>
      </c>
      <c r="L161" s="533"/>
      <c r="M161" s="533"/>
      <c r="N161" s="534"/>
      <c r="O161" s="532" t="str">
        <f>IF(AND(O162=" ",Q162=" ")," ","MOD.ST")</f>
        <v>MOD.ST</v>
      </c>
      <c r="P161" s="533"/>
      <c r="Q161" s="534"/>
      <c r="R161" s="532" t="str">
        <f>IF(R162=" "," ","MOD GE")</f>
        <v>MOD GE</v>
      </c>
      <c r="S161" s="533"/>
      <c r="T161" s="533"/>
      <c r="U161" s="534"/>
      <c r="V161" s="532" t="str">
        <f>IF(E157=0," ","MOD. WAFFE")</f>
        <v> </v>
      </c>
      <c r="W161" s="533"/>
      <c r="X161" s="533"/>
      <c r="Y161" s="533"/>
      <c r="Z161" s="534"/>
      <c r="AA161" s="532" t="str">
        <f>IF(O157=0," ","MOD WAFFE SPEZIELL")</f>
        <v> </v>
      </c>
      <c r="AB161" s="533"/>
      <c r="AC161" s="533"/>
      <c r="AD161" s="533"/>
      <c r="AE161" s="533"/>
      <c r="AF161" s="533"/>
      <c r="AG161" s="533"/>
      <c r="AH161" s="533"/>
      <c r="AI161" s="533"/>
      <c r="AJ161" s="533"/>
      <c r="AK161" s="533"/>
      <c r="AL161" s="533"/>
      <c r="AM161" s="534"/>
    </row>
    <row r="162" spans="2:39" s="21" customFormat="1" ht="15" customHeight="1">
      <c r="B162" s="142">
        <f>IF(AI153="GESCHOSS"," ",IF(AI153="Geschoss1"," ",IF(A159=1," ",A161-(IF(K162=" ",0,K162))-(IF(O162=" ",0,O162))-(IF(V162=" ",0,V162)))))</f>
        <v>13</v>
      </c>
      <c r="C162" s="99"/>
      <c r="D162" s="128"/>
      <c r="E162" s="136">
        <f>IF(A159=1," ",IF(AC167=" "," ",IF(AI153="GESCHOSS1",A161-(IF(K162=" ",0,K162))-(IF(R162=" ",0,R162))-(IF(V162=" ","0",V162)),A161-(IF(K162=" ",0,K162))-(IF(O162=" ",0,O162))-(IF(R162=" ",0,R162))-(IF(V162=" ","0",V162)))))</f>
        <v>10</v>
      </c>
      <c r="F162" s="99"/>
      <c r="G162" s="99"/>
      <c r="H162" s="128"/>
      <c r="I162" s="141" t="str">
        <f>IF(O157=0," ",IF(AI153="Geschoss1",A161-(IF(O162=" ",0,O162))-(IF(AA162=" ",0,AA162))-(IF(AND(AC167&lt;&gt;" ",R162&lt;&gt;" "),R162,0)),A161-(IF(K162=" ",0,K162))-(IF(O162=" ",0,O162))-(IF(AA162=" ",0,AA162))-(IF(AND(AC167&lt;&gt;" ",R162&lt;&gt;" "),R162,0))))</f>
        <v> </v>
      </c>
      <c r="J162" s="126"/>
      <c r="K162" s="515" t="str">
        <f>IF($AN$12&lt;-2," ",IF($C159=TRUE,"+1"," "))</f>
        <v> </v>
      </c>
      <c r="L162" s="537"/>
      <c r="M162" s="509" t="str">
        <f>IF($AN$12&lt;-2," ",IF($C159=TRUE,"+2"," "))</f>
        <v> </v>
      </c>
      <c r="N162" s="514"/>
      <c r="O162" s="167" t="str">
        <f>IF('BOGEN "ALLE"'!$G$26="NORMAL"," ",'BOGEN "ALLE"'!$G$26)</f>
        <v>+2</v>
      </c>
      <c r="P162" s="136"/>
      <c r="Q162" s="166" t="str">
        <f>IF('BOGEN "ALLE"'!$K$26="KEINE"," ",'BOGEN "ALLE"'!$K$26)</f>
        <v>+3</v>
      </c>
      <c r="R162" s="515" t="str">
        <f>IF('BOGEN "ALLE"'!$K$30="KEINE"," ",'BOGEN "ALLE"'!$K$30)</f>
        <v>+3</v>
      </c>
      <c r="S162" s="509"/>
      <c r="T162" s="509"/>
      <c r="U162" s="516"/>
      <c r="V162" s="515" t="str">
        <f>IF(E157=""," ",E157)</f>
        <v> </v>
      </c>
      <c r="W162" s="509"/>
      <c r="X162" s="509"/>
      <c r="Y162" s="509"/>
      <c r="Z162" s="516"/>
      <c r="AA162" s="526" t="str">
        <f>IF(O157=0," ",O157)</f>
        <v> </v>
      </c>
      <c r="AB162" s="500"/>
      <c r="AC162" s="527" t="str">
        <f>IF(O157=0," ","gg.")</f>
        <v> </v>
      </c>
      <c r="AD162" s="527"/>
      <c r="AE162" s="509" t="str">
        <f>IF(T157=0," ",T157)</f>
        <v> </v>
      </c>
      <c r="AF162" s="529"/>
      <c r="AG162" s="529"/>
      <c r="AH162" s="529"/>
      <c r="AI162" s="529"/>
      <c r="AJ162" s="529"/>
      <c r="AK162" s="529"/>
      <c r="AL162" s="529"/>
      <c r="AM162" s="530"/>
    </row>
    <row r="163" spans="2:39" s="21" customFormat="1" ht="4.5" customHeight="1">
      <c r="B163" s="149"/>
      <c r="C163" s="86"/>
      <c r="D163" s="139"/>
      <c r="E163" s="149"/>
      <c r="F163" s="86"/>
      <c r="G163" s="86"/>
      <c r="H163" s="139"/>
      <c r="I163" s="150"/>
      <c r="J163" s="86"/>
      <c r="K163" s="511"/>
      <c r="L163" s="511"/>
      <c r="M163" s="511">
        <f>IF(M162=" ",0,M162)</f>
        <v>0</v>
      </c>
      <c r="N163" s="511"/>
      <c r="O163" s="299"/>
      <c r="P163" s="300"/>
      <c r="Q163" s="298" t="str">
        <f>IF(Q162=" ",0,Q162)</f>
        <v>+3</v>
      </c>
      <c r="R163" s="299"/>
      <c r="S163" s="299"/>
      <c r="T163" s="299"/>
      <c r="U163" s="299"/>
      <c r="V163" s="511">
        <f>IF(V162=" ",0,V162)</f>
        <v>0</v>
      </c>
      <c r="W163" s="511"/>
      <c r="X163" s="511"/>
      <c r="Y163" s="511"/>
      <c r="Z163" s="511"/>
      <c r="AA163" s="519">
        <f>IF(AA162=" ",0,AA162)</f>
        <v>0</v>
      </c>
      <c r="AB163" s="519"/>
      <c r="AC163" s="301"/>
      <c r="AD163" s="151"/>
      <c r="AE163" s="152"/>
      <c r="AF163" s="153"/>
      <c r="AG163" s="153"/>
      <c r="AH163" s="153"/>
      <c r="AI163" s="153"/>
      <c r="AJ163" s="153"/>
      <c r="AK163" s="153"/>
      <c r="AL163" s="153"/>
      <c r="AM163" s="148"/>
    </row>
    <row r="164" spans="1:49" s="21" customFormat="1" ht="14.25" customHeight="1">
      <c r="A164" s="127" t="s">
        <v>235</v>
      </c>
      <c r="B164" s="131"/>
      <c r="C164" s="80"/>
      <c r="D164" s="146"/>
      <c r="E164" s="131"/>
      <c r="F164" s="80"/>
      <c r="G164" s="80"/>
      <c r="H164" s="146"/>
      <c r="I164" s="147"/>
      <c r="J164" s="80"/>
      <c r="K164" s="132"/>
      <c r="L164" s="132"/>
      <c r="M164" s="132"/>
      <c r="N164" s="132"/>
      <c r="O164" s="131"/>
      <c r="P164" s="131"/>
      <c r="Q164" s="131"/>
      <c r="R164" s="131"/>
      <c r="S164" s="131"/>
      <c r="T164" s="131"/>
      <c r="U164" s="131"/>
      <c r="V164" s="132"/>
      <c r="W164" s="132"/>
      <c r="X164" s="132"/>
      <c r="Y164" s="132"/>
      <c r="Z164" s="132"/>
      <c r="AA164" s="147"/>
      <c r="AB164" s="147"/>
      <c r="AC164" s="144"/>
      <c r="AD164" s="144"/>
      <c r="AE164" s="133"/>
      <c r="AF164" s="148"/>
      <c r="AG164" s="148"/>
      <c r="AH164" s="148"/>
      <c r="AI164" s="148"/>
      <c r="AJ164" s="148"/>
      <c r="AK164" s="148"/>
      <c r="AL164" s="148"/>
      <c r="AM164" s="148"/>
      <c r="AO164" s="146"/>
      <c r="AP164" s="146"/>
      <c r="AQ164" s="146"/>
      <c r="AR164" s="146"/>
      <c r="AS164" s="146"/>
      <c r="AT164" s="146"/>
      <c r="AU164" s="146"/>
      <c r="AV164" s="146"/>
      <c r="AW164" s="146"/>
    </row>
    <row r="165" spans="1:49" s="21" customFormat="1" ht="15" customHeight="1">
      <c r="A165" s="81">
        <f>IF(K167=" "," ",VLOOKUP($A159,Waffen!$B$4:$Q$209,6))</f>
        <v>2</v>
      </c>
      <c r="B165" s="496" t="str">
        <f>IF(K167=" "," ","INITATIVE EINHÄNDIG")</f>
        <v>INITATIVE EINHÄNDIG</v>
      </c>
      <c r="C165" s="497"/>
      <c r="D165" s="497"/>
      <c r="E165" s="497"/>
      <c r="F165" s="497"/>
      <c r="G165" s="497"/>
      <c r="H165" s="497"/>
      <c r="I165" s="497"/>
      <c r="J165" s="497"/>
      <c r="K165" s="170" t="str">
        <f>IF(K167=" "," ","SCHADEN K-M EINHÄNDIG")</f>
        <v>SCHADEN K-M EINHÄNDIG</v>
      </c>
      <c r="L165" s="136"/>
      <c r="M165" s="136"/>
      <c r="N165" s="136"/>
      <c r="O165" s="136"/>
      <c r="P165" s="136"/>
      <c r="Q165" s="136"/>
      <c r="R165" s="136"/>
      <c r="S165" s="136"/>
      <c r="T165" s="170" t="str">
        <f>IF(K167=" "," ","SCHADEN G EINHÄNDIG")</f>
        <v>SCHADEN G EINHÄNDIG</v>
      </c>
      <c r="U165" s="137"/>
      <c r="V165" s="137"/>
      <c r="W165" s="137"/>
      <c r="X165" s="137"/>
      <c r="Y165" s="137"/>
      <c r="Z165" s="137"/>
      <c r="AA165" s="136"/>
      <c r="AB165" s="136"/>
      <c r="AC165" s="158" t="str">
        <f>IF(AC167=" "," ","SCHUSSFOLGE und REICHWEITEN")</f>
        <v>SCHUSSFOLGE und REICHWEITEN</v>
      </c>
      <c r="AK165" s="148"/>
      <c r="AL165" s="148"/>
      <c r="AM165" s="148"/>
      <c r="AO165" s="146"/>
      <c r="AP165" s="80"/>
      <c r="AQ165" s="80"/>
      <c r="AR165" s="146"/>
      <c r="AS165" s="146"/>
      <c r="AT165" s="146"/>
      <c r="AU165" s="146"/>
      <c r="AV165" s="146"/>
      <c r="AW165" s="80"/>
    </row>
    <row r="166" spans="2:49" s="21" customFormat="1" ht="15" customHeight="1">
      <c r="B166" s="138" t="str">
        <f>IF(AI153="GESCHOSS"," ",IF(AI153="GESCHOSS1"," ",IF(K167=" "," ","SCHLAG")))</f>
        <v>SCHLAG</v>
      </c>
      <c r="C166" s="139"/>
      <c r="D166" s="139"/>
      <c r="E166" s="139" t="str">
        <f>IF(AC167=" "," ",IF(K167=" "," ","WURF"))</f>
        <v>WURF</v>
      </c>
      <c r="F166" s="139"/>
      <c r="G166" s="139"/>
      <c r="H166" s="139" t="str">
        <f>IF(O157=0," ",IF(K167=" "," ","BES."))</f>
        <v> </v>
      </c>
      <c r="I166" s="86"/>
      <c r="J166" s="140"/>
      <c r="K166" s="498" t="str">
        <f>IF(K167=" "," ","BASIS")</f>
        <v>BASIS</v>
      </c>
      <c r="L166" s="345"/>
      <c r="M166" s="345"/>
      <c r="N166" s="499" t="str">
        <f>IF(K167=" "," ","NORMAL")</f>
        <v>NORMAL</v>
      </c>
      <c r="O166" s="499"/>
      <c r="P166" s="499"/>
      <c r="Q166" s="139"/>
      <c r="R166" s="499" t="str">
        <f>IF(R167=" "," ","BES.")</f>
        <v> </v>
      </c>
      <c r="S166" s="346"/>
      <c r="T166" s="498" t="str">
        <f>IF(K167=" "," ","BASIS")</f>
        <v>BASIS</v>
      </c>
      <c r="U166" s="345"/>
      <c r="V166" s="345"/>
      <c r="W166" s="499" t="str">
        <f>IF(K167=" "," ","NORMAL")</f>
        <v>NORMAL</v>
      </c>
      <c r="X166" s="499"/>
      <c r="Y166" s="499"/>
      <c r="Z166" s="139"/>
      <c r="AA166" s="499" t="str">
        <f>IF(AA167=" "," ","BES.")</f>
        <v> </v>
      </c>
      <c r="AB166" s="346"/>
      <c r="AC166" s="532" t="str">
        <f>IF(AC167=" "," ","SF")</f>
        <v>SF</v>
      </c>
      <c r="AD166" s="346"/>
      <c r="AF166" s="532" t="str">
        <f>IF(AF167=" "," ","K")</f>
        <v>K</v>
      </c>
      <c r="AG166" s="346"/>
      <c r="AI166" s="532" t="str">
        <f>IF(AI167=" "," ","M")</f>
        <v>M</v>
      </c>
      <c r="AJ166" s="346"/>
      <c r="AL166" s="532" t="str">
        <f>IF(AL167=" "," ","G")</f>
        <v>G</v>
      </c>
      <c r="AM166" s="346"/>
      <c r="AO166" s="61"/>
      <c r="AP166" s="145"/>
      <c r="AQ166" s="80"/>
      <c r="AR166" s="146"/>
      <c r="AS166" s="146"/>
      <c r="AT166" s="146"/>
      <c r="AU166" s="146"/>
      <c r="AV166" s="146"/>
      <c r="AW166" s="146"/>
    </row>
    <row r="167" spans="2:39" s="21" customFormat="1" ht="15" customHeight="1">
      <c r="B167" s="157">
        <f>IF(AI153="GESCHOSS"," ",IF(K167=" "," ",IF((A165-(IF(V162=" ",0,V162)))&lt;=0,0,A165-(IF(V162=" ",0,V162)))))</f>
        <v>2</v>
      </c>
      <c r="C167" s="502">
        <f>IF(AI153&lt;&gt;"GESCHOSS",IF(K167=" "," ",(IF(R162=" "," ",R162-(2*R162))))," ")</f>
        <v>-3</v>
      </c>
      <c r="D167" s="538"/>
      <c r="E167" s="157">
        <f>IF(AC167=" "," ",IF(K167=" "," ",IF((A165-IF(V162=" ",0,V162))&lt;=0,0,A165-(IF(V162=" ",0,V162)))))</f>
        <v>2</v>
      </c>
      <c r="F167" s="502">
        <f>IF(K167=" "," ",IF(AC167=" "," ",(IF(R162=" "," ",R162-(2*R162)))))</f>
        <v>-3</v>
      </c>
      <c r="G167" s="538"/>
      <c r="H167" s="156" t="str">
        <f>IF(O157=0," ",IF(K167=" "," ",IF((A165-(IF(AA162=" ",0,AA162)))&lt;=0,0,A165-(IF(AA162=" ",0,AA162)))))</f>
        <v> </v>
      </c>
      <c r="I167" s="502" t="str">
        <f>IF(O157=0," ",IF(K167=" "," ",(IF(R162=" "," ",R162-(2*R162)))))</f>
        <v> </v>
      </c>
      <c r="J167" s="503"/>
      <c r="K167" s="512" t="str">
        <f>IF(VLOOKUP(A159,Waffen!$B$4:$M$177,8)=0," ",VLOOKUP($A159,Waffen!$B$4:$Q$209,8))</f>
        <v>1W2</v>
      </c>
      <c r="L167" s="513"/>
      <c r="M167" s="510"/>
      <c r="N167" s="509">
        <f>IF(K167=" "," ",IF(AI153="GESCHOSS1",0+V163,IF(AND(AI153="+1",$D159=TRUE),0+M163+Q163+V163,0+M163+Q163+V163)))</f>
        <v>3</v>
      </c>
      <c r="O167" s="509"/>
      <c r="P167" s="509"/>
      <c r="Q167" s="129"/>
      <c r="R167" s="509" t="str">
        <f>IF(O157=0," ",IF(K167=" "," ",IF(AI153="Geschoss1",0+AA163,IF(AND(AI153="+1",$D159=TRUE),0+M163+Q163+AA163,0+M163+Q163+AA163))))</f>
        <v> </v>
      </c>
      <c r="S167" s="516"/>
      <c r="T167" s="504" t="str">
        <f>IF(VLOOKUP(A159,Waffen!$B$4:$M$177,9)=0," ",VLOOKUP($A159,Waffen!$B$4:$Q$209,9))</f>
        <v>1W2</v>
      </c>
      <c r="U167" s="505"/>
      <c r="V167" s="351"/>
      <c r="W167" s="509">
        <f>IF(K167=" "," ",IF(AI153="GESCHOSS1",0+V163,IF(AND(AI153="+1",$D159=TRUE),0+M163+Q163+V163,0+M163+Q163+V163)))</f>
        <v>3</v>
      </c>
      <c r="X167" s="509"/>
      <c r="Y167" s="510"/>
      <c r="Z167" s="129"/>
      <c r="AA167" s="509" t="str">
        <f>IF(O157=0," ",IF(K167=" "," ",IF(AI153="Geschoss1",0+AA163,IF(AND(AI153="+1",$D159=TRUE),0+M163+Q163+AA163,0+M163+Q163+AA163))))</f>
        <v> </v>
      </c>
      <c r="AB167" s="516"/>
      <c r="AC167" s="528" t="str">
        <f>IF(VLOOKUP($A159,Waffen!$B$4:$Q$200,13)=0," ",VLOOKUP($A159,Waffen!$B$4:$Q$200,13))</f>
        <v>2/1</v>
      </c>
      <c r="AD167" s="324"/>
      <c r="AF167" s="528" t="str">
        <f>IF(VLOOKUP($A159,Waffen!$B$4:$Q$200,14)=0," ",VLOOKUP($A159,Waffen!$B$4:$Q$200,14))</f>
        <v>1</v>
      </c>
      <c r="AG167" s="324"/>
      <c r="AI167" s="528" t="str">
        <f>IF(VLOOKUP($A159,Waffen!$B$4:$Q$200,15)=0," ",VLOOKUP($A159,Waffen!$B$4:$Q$200,15))</f>
        <v>2</v>
      </c>
      <c r="AJ167" s="324"/>
      <c r="AL167" s="528" t="str">
        <f>IF(VLOOKUP($A159,Waffen!$B$4:$Q$200,16)=0," ",VLOOKUP($A159,Waffen!$B$4:$Q$200,16))</f>
        <v>3</v>
      </c>
      <c r="AM167" s="324"/>
    </row>
    <row r="168" spans="1:28" s="21" customFormat="1" ht="15" customHeight="1">
      <c r="A168" s="81" t="str">
        <f>IF(Waffenbogen!K170=" "," ",IF(AI153="GESCHOSS",VLOOKUP($A159,Waffen!$B$4:$Q$209,7),IF(AI153="GESCHOSS1",VLOOKUP($A159,Waffen!$B$4:$Q$209,7),IF(AND(AI153="JA",D159=TRUE,$AN$12=-2),VLOOKUP($A159,Waffen!$B$4:$Q$209,7)-3,VLOOKUP($A159,Waffen!$B$4:$Q$209,7)))))</f>
        <v> </v>
      </c>
      <c r="B168" s="520" t="str">
        <f>IF(K170=" "," ","INITATIVE BEIHÄNDIG")</f>
        <v> </v>
      </c>
      <c r="C168" s="521"/>
      <c r="D168" s="521"/>
      <c r="E168" s="521"/>
      <c r="F168" s="521"/>
      <c r="G168" s="521"/>
      <c r="H168" s="521"/>
      <c r="I168" s="521"/>
      <c r="J168" s="521"/>
      <c r="K168" s="169" t="str">
        <f>IF(K170=" "," ","SCHADEN K-M BEIDHÄNDIG")</f>
        <v> </v>
      </c>
      <c r="L168" s="132"/>
      <c r="M168" s="132"/>
      <c r="N168" s="147"/>
      <c r="O168" s="147"/>
      <c r="P168" s="144"/>
      <c r="Q168" s="144"/>
      <c r="R168" s="133"/>
      <c r="S168" s="148"/>
      <c r="T168" s="169" t="str">
        <f>IF(T170=" "," ","SCHADEN G BEIDHÄNDIG")</f>
        <v> </v>
      </c>
      <c r="U168" s="132"/>
      <c r="V168" s="132"/>
      <c r="W168" s="147"/>
      <c r="X168" s="147"/>
      <c r="Y168" s="144"/>
      <c r="Z168" s="144"/>
      <c r="AA168" s="133"/>
      <c r="AB168" s="148"/>
    </row>
    <row r="169" spans="2:28" s="21" customFormat="1" ht="14.25" customHeight="1">
      <c r="B169" s="138" t="str">
        <f>IF(K170=" "," ",IF(AI153="GESCHOSS"," ",IF(AI153="GESCHOSS1"," ","SCHLAG")))</f>
        <v> </v>
      </c>
      <c r="C169" s="139"/>
      <c r="D169" s="139"/>
      <c r="E169" s="139" t="str">
        <f>IF(K170=" "," ",IF(AC167=" "," ","WURF"))</f>
        <v> </v>
      </c>
      <c r="F169" s="139"/>
      <c r="G169" s="139"/>
      <c r="H169" s="139" t="str">
        <f>IF(K170=" "," ",IF(O157=0," ","BES."))</f>
        <v> </v>
      </c>
      <c r="J169" s="87"/>
      <c r="K169" s="498" t="str">
        <f>IF(K170=" "," ","BASIS")</f>
        <v> </v>
      </c>
      <c r="L169" s="345"/>
      <c r="M169" s="345"/>
      <c r="N169" s="499" t="str">
        <f>IF(K170=" "," ","NORMAL")</f>
        <v> </v>
      </c>
      <c r="O169" s="499"/>
      <c r="P169" s="499"/>
      <c r="Q169" s="139"/>
      <c r="R169" s="499" t="str">
        <f>IF(R170=" "," ","BES.")</f>
        <v> </v>
      </c>
      <c r="S169" s="346"/>
      <c r="T169" s="498" t="str">
        <f>IF(K170=" "," ","BASIS")</f>
        <v> </v>
      </c>
      <c r="U169" s="345"/>
      <c r="V169" s="345"/>
      <c r="W169" s="499" t="str">
        <f>IF(K170=" "," ","NORMAL")</f>
        <v> </v>
      </c>
      <c r="X169" s="499"/>
      <c r="Y169" s="499"/>
      <c r="Z169" s="139"/>
      <c r="AA169" s="499" t="str">
        <f>IF(AA170=" "," ","BES.")</f>
        <v> </v>
      </c>
      <c r="AB169" s="346"/>
    </row>
    <row r="170" spans="1:39" s="130" customFormat="1" ht="12.75">
      <c r="A170" s="155">
        <f>IF($B159=TRUE,0,$AN$12)</f>
        <v>0</v>
      </c>
      <c r="B170" s="157" t="str">
        <f>IF(B169=" "," ",IF((A168-(IF(V162=" ",0,(IF(V162=" ",0,V162)))))&lt;=0,0,A168-(IF(V162=" ",0,V162))))</f>
        <v> </v>
      </c>
      <c r="C170" s="502" t="str">
        <f>IF(AI153="GESCHOSS"," ",IF(AI153="GESCHOSS1"," ",IF(K170=" "," ",(IF(R162=" "," ",R162-(2*R162))))))</f>
        <v> </v>
      </c>
      <c r="D170" s="503"/>
      <c r="E170" s="157" t="str">
        <f>IF(AND(K170&lt;&gt;" ",AC167&lt;&gt;" "),IF((A168-(IF(V162=" ",0,V162)))&lt;=0,0,A168-(IF(V162=" ",0,V162)))," ")</f>
        <v> </v>
      </c>
      <c r="F170" s="502" t="str">
        <f>IF(K170=" "," ",IF(AC167=" "," ",(IF(R162=" "," ",R162-(2*R162)))))</f>
        <v> </v>
      </c>
      <c r="G170" s="503"/>
      <c r="H170" s="157" t="str">
        <f>IF(O157=0," ",IF(K170=" "," ",IF((A168-(IF(V162=" ",0,V162)))&lt;=0,0,A168-(IF(V162=" ",0,V162)))))</f>
        <v> </v>
      </c>
      <c r="I170" s="506" t="str">
        <f>IF(K170=" "," ",IF(AND(O157=0,R162=" ")," ",(IF(R162=" "," ",R162-(2*R162)))))</f>
        <v> </v>
      </c>
      <c r="J170" s="507"/>
      <c r="K170" s="504" t="str">
        <f>IF(IF(VLOOKUP(A159,Waffen!$B$4:$M$177,10)=0,0,VLOOKUP($A159,Waffen!$B$4:$Q$209,10))=0," ",VLOOKUP($A159,Waffen!$B$4:$Q$209,10))</f>
        <v> </v>
      </c>
      <c r="L170" s="505"/>
      <c r="M170" s="351"/>
      <c r="N170" s="500" t="str">
        <f>IF(K170=" "," ",IF(AI153="GESCHOSS1",0+V163,IF(AND(AI153="+1",$D159=TRUE),0+M163+Q163+V163+1,0+M163+Q163+V163)))</f>
        <v> </v>
      </c>
      <c r="O170" s="500"/>
      <c r="P170" s="501"/>
      <c r="Q170" s="129"/>
      <c r="R170" s="500" t="str">
        <f>IF(K170=" "," ",IF(AI153="GESCHOSS1",0+AA163,IF(AND(AI153="+1",$D159=TRUE),0+M163+Q163+AA163+1,0+M163+Q163+AA163)))</f>
        <v> </v>
      </c>
      <c r="S170" s="508"/>
      <c r="T170" s="504" t="str">
        <f>IF(IF(AI153="NEIN",0,VLOOKUP($A159,Waffen!$B$4:$Q$209,11))=0," ",VLOOKUP($A159,Waffen!$B$4:$Q$209,11))</f>
        <v> </v>
      </c>
      <c r="U170" s="505"/>
      <c r="V170" s="351"/>
      <c r="W170" s="500" t="str">
        <f>IF(K170=" "," ",IF(AI153="GESCHOSS1",0+V163,IF(AND(AI153="+1",$D159=TRUE),0+M163+Q163+V163+1,0+M163+Q163+V163)))</f>
        <v> </v>
      </c>
      <c r="X170" s="500"/>
      <c r="Y170" s="501"/>
      <c r="Z170" s="129"/>
      <c r="AA170" s="500" t="str">
        <f>IF(K170=" "," ",IF(AI153="GESCHOSS1",0+AA163,IF(AND(AI153="+1",$D159=TRUE),0+M163+Q163+AA163+1,0+M163+Q163+AA163)))</f>
        <v> </v>
      </c>
      <c r="AB170" s="508"/>
      <c r="AE170" s="531"/>
      <c r="AF170" s="531"/>
      <c r="AG170" s="531"/>
      <c r="AH170" s="531"/>
      <c r="AK170" s="79"/>
      <c r="AL170" s="79"/>
      <c r="AM170" s="79"/>
    </row>
    <row r="171" s="130" customFormat="1" ht="10.5"/>
    <row r="172" spans="1:39" ht="14.25" customHeight="1">
      <c r="A172" s="65"/>
      <c r="B172" s="154"/>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row>
    <row r="173" spans="1:40" ht="12.75">
      <c r="A173" s="522"/>
      <c r="B173" s="522"/>
      <c r="C173" s="522"/>
      <c r="D173" s="522"/>
      <c r="E173" s="522"/>
      <c r="F173" s="522"/>
      <c r="G173" s="522"/>
      <c r="H173" s="522"/>
      <c r="I173" s="522"/>
      <c r="J173" s="522"/>
      <c r="K173" s="522"/>
      <c r="L173" s="522"/>
      <c r="M173" s="522"/>
      <c r="N173" s="522"/>
      <c r="O173" s="522"/>
      <c r="P173" s="522"/>
      <c r="Q173" s="522"/>
      <c r="R173" s="522"/>
      <c r="S173" s="522"/>
      <c r="T173" s="522"/>
      <c r="U173" s="522"/>
      <c r="V173" s="522"/>
      <c r="AC173" s="297" t="s">
        <v>1708</v>
      </c>
      <c r="AD173" s="281"/>
      <c r="AE173" s="281"/>
      <c r="AF173" s="281"/>
      <c r="AG173" s="281"/>
      <c r="AH173" s="281"/>
      <c r="AI173" s="535" t="str">
        <f>VLOOKUP($A179,Waffen!$B$4:$Q$209,12)</f>
        <v>NEIN</v>
      </c>
      <c r="AJ173" s="535"/>
      <c r="AK173" s="536"/>
      <c r="AL173" s="536"/>
      <c r="AM173" s="536"/>
      <c r="AN173" s="536"/>
    </row>
    <row r="174" spans="1:29" ht="3" customHeight="1">
      <c r="A174" s="143"/>
      <c r="B174" s="143"/>
      <c r="C174" s="143"/>
      <c r="D174" s="143"/>
      <c r="E174" s="143"/>
      <c r="F174" s="143"/>
      <c r="G174" s="143"/>
      <c r="H174" s="143"/>
      <c r="I174" s="143"/>
      <c r="J174" s="143"/>
      <c r="K174" s="143"/>
      <c r="L174" s="143"/>
      <c r="M174" s="143"/>
      <c r="N174" s="143"/>
      <c r="O174" s="143"/>
      <c r="P174" s="143"/>
      <c r="Q174" s="143"/>
      <c r="R174" s="143"/>
      <c r="S174" s="143"/>
      <c r="T174" s="143"/>
      <c r="U174" s="143"/>
      <c r="V174" s="143"/>
      <c r="AC174" s="130"/>
    </row>
    <row r="175" spans="1:34" ht="12.75">
      <c r="A175" s="16" t="s">
        <v>1710</v>
      </c>
      <c r="B175" s="523" t="str">
        <f>VLOOKUP($A179,Waffen!$B$4:$Q$209,2)</f>
        <v>---</v>
      </c>
      <c r="C175" s="524"/>
      <c r="D175" s="524"/>
      <c r="E175" s="524"/>
      <c r="F175" s="524"/>
      <c r="G175" s="524"/>
      <c r="H175" s="524"/>
      <c r="I175" s="524"/>
      <c r="J175" s="524"/>
      <c r="K175" s="524"/>
      <c r="L175" s="524"/>
      <c r="M175" s="524"/>
      <c r="N175" s="524"/>
      <c r="O175" s="524"/>
      <c r="P175" s="524"/>
      <c r="Q175" s="525"/>
      <c r="S175" s="134" t="s">
        <v>1711</v>
      </c>
      <c r="Z175" s="523">
        <f>VLOOKUP($A179,Waffen!$B$4:$Q$209,5)</f>
        <v>0</v>
      </c>
      <c r="AA175" s="525"/>
      <c r="AC175" s="73" t="s">
        <v>889</v>
      </c>
      <c r="AG175" s="523">
        <f>VLOOKUP($A179,Waffen!$B$4:$Q$209,4)</f>
        <v>0</v>
      </c>
      <c r="AH175" s="525"/>
    </row>
    <row r="176" spans="1:34" ht="3" customHeight="1">
      <c r="A176" s="16"/>
      <c r="B176" s="64"/>
      <c r="C176" s="64"/>
      <c r="D176" s="64"/>
      <c r="E176" s="64"/>
      <c r="F176" s="64"/>
      <c r="G176" s="64"/>
      <c r="H176" s="64"/>
      <c r="I176" s="64"/>
      <c r="J176" s="64"/>
      <c r="K176" s="64"/>
      <c r="L176" s="64"/>
      <c r="M176" s="64"/>
      <c r="N176" s="64"/>
      <c r="O176" s="64"/>
      <c r="P176" s="64"/>
      <c r="Q176" s="64"/>
      <c r="S176" s="134"/>
      <c r="Z176" s="64"/>
      <c r="AA176" s="64"/>
      <c r="AC176" s="73"/>
      <c r="AG176" s="64"/>
      <c r="AH176" s="64"/>
    </row>
    <row r="177" spans="1:40" ht="12.75">
      <c r="A177" s="73" t="s">
        <v>1709</v>
      </c>
      <c r="E177" s="517"/>
      <c r="F177" s="518"/>
      <c r="H177" s="73" t="s">
        <v>236</v>
      </c>
      <c r="O177" s="517"/>
      <c r="P177" s="518"/>
      <c r="R177" s="73" t="s">
        <v>1707</v>
      </c>
      <c r="T177" s="523"/>
      <c r="U177" s="375"/>
      <c r="V177" s="375"/>
      <c r="W177" s="375"/>
      <c r="X177" s="375"/>
      <c r="Y177" s="375"/>
      <c r="Z177" s="375"/>
      <c r="AA177" s="375"/>
      <c r="AB177" s="375"/>
      <c r="AC177" s="375"/>
      <c r="AD177" s="375"/>
      <c r="AE177" s="375"/>
      <c r="AF177" s="375"/>
      <c r="AG177" s="375"/>
      <c r="AH177" s="375"/>
      <c r="AI177" s="375"/>
      <c r="AJ177" s="375"/>
      <c r="AK177" s="375"/>
      <c r="AL177" s="375"/>
      <c r="AM177" s="375"/>
      <c r="AN177" s="376"/>
    </row>
    <row r="178" spans="1:16" ht="1.5" customHeight="1">
      <c r="A178" s="73"/>
      <c r="H178" s="73"/>
      <c r="I178" s="125" t="b">
        <v>0</v>
      </c>
      <c r="P178" s="73"/>
    </row>
    <row r="179" spans="1:4" s="125" customFormat="1" ht="1.5" customHeight="1">
      <c r="A179" s="135">
        <v>1</v>
      </c>
      <c r="B179" s="125" t="b">
        <v>0</v>
      </c>
      <c r="C179" s="125" t="b">
        <v>0</v>
      </c>
      <c r="D179" s="125" t="b">
        <v>0</v>
      </c>
    </row>
    <row r="180" ht="14.25" customHeight="1">
      <c r="A180" s="127" t="s">
        <v>724</v>
      </c>
    </row>
    <row r="181" spans="1:39" s="21" customFormat="1" ht="15" customHeight="1">
      <c r="A181" s="81">
        <f>MIN('BOGEN "ALLE"'!$AP$22:$AR$22)-A190</f>
        <v>17</v>
      </c>
      <c r="B181" s="138" t="str">
        <f>IF(AI173="GESCHOSS"," ",IF(AI173="GESCHOSS1"," ","SCHLAG"))</f>
        <v>SCHLAG</v>
      </c>
      <c r="C181" s="139"/>
      <c r="D181" s="139"/>
      <c r="E181" s="139" t="str">
        <f>IF(AC187=" "," ","WURF")</f>
        <v>WURF</v>
      </c>
      <c r="F181" s="139"/>
      <c r="G181" s="139"/>
      <c r="H181" s="139"/>
      <c r="I181" s="139" t="str">
        <f>IF(O177=0," ","BES.")</f>
        <v> </v>
      </c>
      <c r="J181" s="168"/>
      <c r="K181" s="532" t="str">
        <f>IF(K182=" "," ","MOD SPEZ.")</f>
        <v> </v>
      </c>
      <c r="L181" s="533"/>
      <c r="M181" s="533"/>
      <c r="N181" s="534"/>
      <c r="O181" s="532" t="str">
        <f>IF(AND(O182=" ",Q182=" ")," ","MOD.ST")</f>
        <v>MOD.ST</v>
      </c>
      <c r="P181" s="533"/>
      <c r="Q181" s="534"/>
      <c r="R181" s="532" t="str">
        <f>IF(R182=" "," ","MOD GE")</f>
        <v>MOD GE</v>
      </c>
      <c r="S181" s="533"/>
      <c r="T181" s="533"/>
      <c r="U181" s="534"/>
      <c r="V181" s="532" t="str">
        <f>IF(E177=0," ","MOD. WAFFE")</f>
        <v> </v>
      </c>
      <c r="W181" s="533"/>
      <c r="X181" s="533"/>
      <c r="Y181" s="533"/>
      <c r="Z181" s="534"/>
      <c r="AA181" s="532" t="str">
        <f>IF(O177=0," ","MOD WAFFE SPEZIELL")</f>
        <v> </v>
      </c>
      <c r="AB181" s="533"/>
      <c r="AC181" s="533"/>
      <c r="AD181" s="533"/>
      <c r="AE181" s="533"/>
      <c r="AF181" s="533"/>
      <c r="AG181" s="533"/>
      <c r="AH181" s="533"/>
      <c r="AI181" s="533"/>
      <c r="AJ181" s="533"/>
      <c r="AK181" s="533"/>
      <c r="AL181" s="533"/>
      <c r="AM181" s="534"/>
    </row>
    <row r="182" spans="2:39" s="21" customFormat="1" ht="15" customHeight="1">
      <c r="B182" s="142" t="str">
        <f>IF(AI173="GESCHOSS"," ",IF(AI173="Geschoss1"," ",IF(A179=1," ",A181-(IF(K182=" ",0,K182))-(IF(O182=" ",0,O182))-(IF(V182=" ",0,V182)))))</f>
        <v> </v>
      </c>
      <c r="C182" s="99"/>
      <c r="D182" s="128"/>
      <c r="E182" s="136" t="str">
        <f>IF(A179=1," ",IF(AC187=" "," ",IF(AI173="GESCHOSS1",A181-(IF(K182=" ",0,K182))-(IF(R182=" ",0,R182))-(IF(V182=" ","0",V182)),A181-(IF(K182=" ",0,K182))-(IF(O182=" ",0,O182))-(IF(R182=" ",0,R182))-(IF(V182=" ","0",V182)))))</f>
        <v> </v>
      </c>
      <c r="F182" s="99"/>
      <c r="G182" s="99"/>
      <c r="H182" s="128"/>
      <c r="I182" s="141" t="str">
        <f>IF(O177=0," ",IF(AI173="Geschoss1",A181-(IF(O182=" ",0,O182))-(IF(AA182=" ",0,AA182))-(IF(AND(AC187&lt;&gt;" ",R182&lt;&gt;" "),R182,0)),A181-(IF(K182=" ",0,K182))-(IF(O182=" ",0,O182))-(IF(AA182=" ",0,AA182))-(IF(AND(AC187&lt;&gt;" ",R182&lt;&gt;" "),R182,0))))</f>
        <v> </v>
      </c>
      <c r="J182" s="126"/>
      <c r="K182" s="515" t="str">
        <f>IF($AN$12&lt;-2," ",IF($C179=TRUE,"+1"," "))</f>
        <v> </v>
      </c>
      <c r="L182" s="537"/>
      <c r="M182" s="509" t="str">
        <f>IF($AN$12&lt;-2," ",IF($C179=TRUE,"+2"," "))</f>
        <v> </v>
      </c>
      <c r="N182" s="514"/>
      <c r="O182" s="167" t="str">
        <f>IF('BOGEN "ALLE"'!$G$26="NORMAL"," ",'BOGEN "ALLE"'!$G$26)</f>
        <v>+2</v>
      </c>
      <c r="P182" s="136"/>
      <c r="Q182" s="166" t="str">
        <f>IF('BOGEN "ALLE"'!$K$26="KEINE"," ",'BOGEN "ALLE"'!$K$26)</f>
        <v>+3</v>
      </c>
      <c r="R182" s="515" t="str">
        <f>IF('BOGEN "ALLE"'!$K$30="KEINE"," ",'BOGEN "ALLE"'!$K$30)</f>
        <v>+3</v>
      </c>
      <c r="S182" s="509"/>
      <c r="T182" s="509"/>
      <c r="U182" s="516"/>
      <c r="V182" s="515" t="str">
        <f>IF(E177=""," ",E177)</f>
        <v> </v>
      </c>
      <c r="W182" s="509"/>
      <c r="X182" s="509"/>
      <c r="Y182" s="509"/>
      <c r="Z182" s="516"/>
      <c r="AA182" s="526" t="str">
        <f>IF(O177=0," ",O177)</f>
        <v> </v>
      </c>
      <c r="AB182" s="500"/>
      <c r="AC182" s="527" t="str">
        <f>IF(O177=0," ","gg.")</f>
        <v> </v>
      </c>
      <c r="AD182" s="527"/>
      <c r="AE182" s="509" t="str">
        <f>IF(T177=0," ",T177)</f>
        <v> </v>
      </c>
      <c r="AF182" s="529"/>
      <c r="AG182" s="529"/>
      <c r="AH182" s="529"/>
      <c r="AI182" s="529"/>
      <c r="AJ182" s="529"/>
      <c r="AK182" s="529"/>
      <c r="AL182" s="529"/>
      <c r="AM182" s="530"/>
    </row>
    <row r="183" spans="2:39" s="21" customFormat="1" ht="4.5" customHeight="1">
      <c r="B183" s="149"/>
      <c r="C183" s="86"/>
      <c r="D183" s="139"/>
      <c r="E183" s="149"/>
      <c r="F183" s="86"/>
      <c r="G183" s="86"/>
      <c r="H183" s="139"/>
      <c r="I183" s="150"/>
      <c r="J183" s="86"/>
      <c r="K183" s="511"/>
      <c r="L183" s="511"/>
      <c r="M183" s="511">
        <f>IF(M182=" ",0,M182)</f>
        <v>0</v>
      </c>
      <c r="N183" s="511"/>
      <c r="O183" s="299"/>
      <c r="P183" s="300"/>
      <c r="Q183" s="298" t="str">
        <f>IF(Q182=" ",0,Q182)</f>
        <v>+3</v>
      </c>
      <c r="R183" s="299"/>
      <c r="S183" s="299"/>
      <c r="T183" s="299"/>
      <c r="U183" s="299"/>
      <c r="V183" s="511">
        <f>IF(V182=" ",0,V182)</f>
        <v>0</v>
      </c>
      <c r="W183" s="511"/>
      <c r="X183" s="511"/>
      <c r="Y183" s="511"/>
      <c r="Z183" s="511"/>
      <c r="AA183" s="519">
        <f>IF(AA182=" ",0,AA182)</f>
        <v>0</v>
      </c>
      <c r="AB183" s="519"/>
      <c r="AC183" s="301"/>
      <c r="AD183" s="151"/>
      <c r="AE183" s="152"/>
      <c r="AF183" s="153"/>
      <c r="AG183" s="153"/>
      <c r="AH183" s="153"/>
      <c r="AI183" s="153"/>
      <c r="AJ183" s="153"/>
      <c r="AK183" s="153"/>
      <c r="AL183" s="153"/>
      <c r="AM183" s="148"/>
    </row>
    <row r="184" spans="1:49" s="21" customFormat="1" ht="14.25" customHeight="1">
      <c r="A184" s="127" t="s">
        <v>235</v>
      </c>
      <c r="B184" s="131"/>
      <c r="C184" s="80"/>
      <c r="D184" s="146"/>
      <c r="E184" s="131"/>
      <c r="F184" s="80"/>
      <c r="G184" s="80"/>
      <c r="H184" s="146"/>
      <c r="I184" s="147"/>
      <c r="J184" s="80"/>
      <c r="K184" s="132"/>
      <c r="L184" s="132"/>
      <c r="M184" s="132"/>
      <c r="N184" s="132"/>
      <c r="O184" s="131"/>
      <c r="P184" s="131"/>
      <c r="Q184" s="131"/>
      <c r="R184" s="131"/>
      <c r="S184" s="131"/>
      <c r="T184" s="131"/>
      <c r="U184" s="131"/>
      <c r="V184" s="132"/>
      <c r="W184" s="132"/>
      <c r="X184" s="132"/>
      <c r="Y184" s="132"/>
      <c r="Z184" s="132"/>
      <c r="AA184" s="147"/>
      <c r="AB184" s="147"/>
      <c r="AC184" s="144"/>
      <c r="AD184" s="144"/>
      <c r="AE184" s="133"/>
      <c r="AF184" s="148"/>
      <c r="AG184" s="148"/>
      <c r="AH184" s="148"/>
      <c r="AI184" s="148"/>
      <c r="AJ184" s="148"/>
      <c r="AK184" s="148"/>
      <c r="AL184" s="148"/>
      <c r="AM184" s="148"/>
      <c r="AO184" s="146"/>
      <c r="AP184" s="146"/>
      <c r="AQ184" s="146"/>
      <c r="AR184" s="146"/>
      <c r="AS184" s="146"/>
      <c r="AT184" s="146"/>
      <c r="AU184" s="146"/>
      <c r="AV184" s="146"/>
      <c r="AW184" s="146"/>
    </row>
    <row r="185" spans="1:49" s="21" customFormat="1" ht="15" customHeight="1">
      <c r="A185" s="81" t="str">
        <f>IF(K187=" "," ",VLOOKUP($A179,Waffen!$B$4:$Q$209,6))</f>
        <v> </v>
      </c>
      <c r="B185" s="496" t="str">
        <f>IF(K187=" "," ","INITATIVE EINHÄNDIG")</f>
        <v> </v>
      </c>
      <c r="C185" s="497"/>
      <c r="D185" s="497"/>
      <c r="E185" s="497"/>
      <c r="F185" s="497"/>
      <c r="G185" s="497"/>
      <c r="H185" s="497"/>
      <c r="I185" s="497"/>
      <c r="J185" s="497"/>
      <c r="K185" s="170" t="str">
        <f>IF(K187=" "," ","SCHADEN K-M EINHÄNDIG")</f>
        <v> </v>
      </c>
      <c r="L185" s="136"/>
      <c r="M185" s="136"/>
      <c r="N185" s="136"/>
      <c r="O185" s="136"/>
      <c r="P185" s="136"/>
      <c r="Q185" s="136"/>
      <c r="R185" s="136"/>
      <c r="S185" s="136"/>
      <c r="T185" s="170" t="str">
        <f>IF(K187=" "," ","SCHADEN G EINHÄNDIG")</f>
        <v> </v>
      </c>
      <c r="U185" s="137"/>
      <c r="V185" s="137"/>
      <c r="W185" s="137"/>
      <c r="X185" s="137"/>
      <c r="Y185" s="137"/>
      <c r="Z185" s="137"/>
      <c r="AA185" s="136"/>
      <c r="AB185" s="136"/>
      <c r="AC185" s="158" t="str">
        <f>IF(AC187=" "," ","SCHUSSFOLGE und REICHWEITEN")</f>
        <v>SCHUSSFOLGE und REICHWEITEN</v>
      </c>
      <c r="AK185" s="148"/>
      <c r="AL185" s="148"/>
      <c r="AM185" s="148"/>
      <c r="AO185" s="146"/>
      <c r="AP185" s="80"/>
      <c r="AQ185" s="80"/>
      <c r="AR185" s="146"/>
      <c r="AS185" s="146"/>
      <c r="AT185" s="146"/>
      <c r="AU185" s="146"/>
      <c r="AV185" s="146"/>
      <c r="AW185" s="80"/>
    </row>
    <row r="186" spans="2:49" s="21" customFormat="1" ht="15" customHeight="1">
      <c r="B186" s="138" t="str">
        <f>IF(AI173="GESCHOSS"," ",IF(AI173="GESCHOSS1"," ",IF(K187=" "," ","SCHLAG")))</f>
        <v> </v>
      </c>
      <c r="C186" s="139"/>
      <c r="D186" s="139"/>
      <c r="E186" s="139" t="str">
        <f>IF(AC187=" "," ",IF(K187=" "," ","WURF"))</f>
        <v> </v>
      </c>
      <c r="F186" s="139"/>
      <c r="G186" s="139"/>
      <c r="H186" s="139" t="str">
        <f>IF(O177=0," ",IF(K187=" "," ","BES."))</f>
        <v> </v>
      </c>
      <c r="I186" s="86"/>
      <c r="J186" s="140"/>
      <c r="K186" s="498" t="str">
        <f>IF(K187=" "," ","BASIS")</f>
        <v> </v>
      </c>
      <c r="L186" s="345"/>
      <c r="M186" s="345"/>
      <c r="N186" s="499" t="str">
        <f>IF(K187=" "," ","NORMAL")</f>
        <v> </v>
      </c>
      <c r="O186" s="499"/>
      <c r="P186" s="499"/>
      <c r="Q186" s="139"/>
      <c r="R186" s="499" t="str">
        <f>IF(R187=" "," ","BES.")</f>
        <v> </v>
      </c>
      <c r="S186" s="346"/>
      <c r="T186" s="498" t="str">
        <f>IF(K187=" "," ","BASIS")</f>
        <v> </v>
      </c>
      <c r="U186" s="345"/>
      <c r="V186" s="345"/>
      <c r="W186" s="499" t="str">
        <f>IF(K187=" "," ","NORMAL")</f>
        <v> </v>
      </c>
      <c r="X186" s="499"/>
      <c r="Y186" s="499"/>
      <c r="Z186" s="139"/>
      <c r="AA186" s="499" t="str">
        <f>IF(AA187=" "," ","BES.")</f>
        <v> </v>
      </c>
      <c r="AB186" s="346"/>
      <c r="AC186" s="532" t="str">
        <f>IF(AC187=" "," ","SF")</f>
        <v>SF</v>
      </c>
      <c r="AD186" s="346"/>
      <c r="AF186" s="532" t="str">
        <f>IF(AF187=" "," ","K")</f>
        <v>K</v>
      </c>
      <c r="AG186" s="346"/>
      <c r="AI186" s="532" t="str">
        <f>IF(AI187=" "," ","M")</f>
        <v>M</v>
      </c>
      <c r="AJ186" s="346"/>
      <c r="AL186" s="532" t="str">
        <f>IF(AL187=" "," ","G")</f>
        <v>G</v>
      </c>
      <c r="AM186" s="346"/>
      <c r="AO186" s="61"/>
      <c r="AP186" s="145"/>
      <c r="AQ186" s="80"/>
      <c r="AR186" s="146"/>
      <c r="AS186" s="146"/>
      <c r="AT186" s="146"/>
      <c r="AU186" s="146"/>
      <c r="AV186" s="146"/>
      <c r="AW186" s="146"/>
    </row>
    <row r="187" spans="2:39" s="21" customFormat="1" ht="15" customHeight="1">
      <c r="B187" s="157" t="str">
        <f>IF(AI173="GESCHOSS"," ",IF(K187=" "," ",IF((A185-(IF(V182=" ",0,V182)))&lt;=0,0,A185-(IF(V182=" ",0,V182)))))</f>
        <v> </v>
      </c>
      <c r="C187" s="502" t="str">
        <f>IF(AI173&lt;&gt;"GESCHOSS",IF(K187=" "," ",(IF(R182=" "," ",R182-(2*R182))))," ")</f>
        <v> </v>
      </c>
      <c r="D187" s="538"/>
      <c r="E187" s="157" t="str">
        <f>IF(AC187=" "," ",IF(K187=" "," ",IF((A185-IF(V182=" ",0,V182))&lt;=0,0,A185-(IF(V182=" ",0,V182)))))</f>
        <v> </v>
      </c>
      <c r="F187" s="502" t="str">
        <f>IF(K187=" "," ",IF(AC187=" "," ",(IF(R182=" "," ",R182-(2*R182)))))</f>
        <v> </v>
      </c>
      <c r="G187" s="538"/>
      <c r="H187" s="156" t="str">
        <f>IF(O177=0," ",IF(K187=" "," ",IF((A185-(IF(AA182=" ",0,AA182)))&lt;=0,0,A185-(IF(AA182=" ",0,AA182)))))</f>
        <v> </v>
      </c>
      <c r="I187" s="502" t="str">
        <f>IF(O177=0," ",IF(K187=" "," ",(IF(R182=" "," ",R182-(2*R182)))))</f>
        <v> </v>
      </c>
      <c r="J187" s="503"/>
      <c r="K187" s="512" t="str">
        <f>IF(VLOOKUP(A179,Waffen!$B$4:$M$177,8)=0," ",VLOOKUP($A179,Waffen!$B$4:$Q$209,8))</f>
        <v> </v>
      </c>
      <c r="L187" s="513"/>
      <c r="M187" s="510"/>
      <c r="N187" s="509" t="str">
        <f>IF(K187=" "," ",IF(AI173="GESCHOSS1",0+V183,IF(AND(AI173="+1",$D179=TRUE),0+M183+Q183+V183,0+M183+Q183+V183)))</f>
        <v> </v>
      </c>
      <c r="O187" s="509"/>
      <c r="P187" s="509"/>
      <c r="Q187" s="129"/>
      <c r="R187" s="509" t="str">
        <f>IF(O177=0," ",IF(K187=" "," ",IF(AI173="Geschoss1",0+AA183,IF(AND(AI173="+1",$D179=TRUE),0+M183+Q183+AA183,0+M183+Q183+AA183))))</f>
        <v> </v>
      </c>
      <c r="S187" s="516"/>
      <c r="T187" s="504" t="str">
        <f>IF(VLOOKUP(A179,Waffen!$B$4:$M$177,9)=0," ",VLOOKUP($A179,Waffen!$B$4:$Q$209,9))</f>
        <v> </v>
      </c>
      <c r="U187" s="505"/>
      <c r="V187" s="351"/>
      <c r="W187" s="509" t="str">
        <f>IF(K187=" "," ",IF(AI173="GESCHOSS1",0+V183,IF(AND(AI173="+1",$D179=TRUE),0+M183+Q183+V183,0+M183+Q183+V183)))</f>
        <v> </v>
      </c>
      <c r="X187" s="509"/>
      <c r="Y187" s="510"/>
      <c r="Z187" s="129"/>
      <c r="AA187" s="509" t="str">
        <f>IF(O177=0," ",IF(K187=" "," ",IF(AI173="Geschoss1",0+AA183,IF(AND(AI173="+1",$D179=TRUE),0+M183+Q183+AA183,0+M183+Q183+AA183))))</f>
        <v> </v>
      </c>
      <c r="AB187" s="516"/>
      <c r="AC187" s="528" t="str">
        <f>IF(VLOOKUP($A179,Waffen!$B$4:$Q$200,13)=0," ",VLOOKUP($A179,Waffen!$B$4:$Q$200,13))</f>
        <v>---</v>
      </c>
      <c r="AD187" s="324"/>
      <c r="AF187" s="528" t="str">
        <f>IF(VLOOKUP($A179,Waffen!$B$4:$Q$200,14)=0," ",VLOOKUP($A179,Waffen!$B$4:$Q$200,14))</f>
        <v>---</v>
      </c>
      <c r="AG187" s="324"/>
      <c r="AI187" s="528" t="str">
        <f>IF(VLOOKUP($A179,Waffen!$B$4:$Q$200,15)=0," ",VLOOKUP($A179,Waffen!$B$4:$Q$200,15))</f>
        <v>---</v>
      </c>
      <c r="AJ187" s="324"/>
      <c r="AL187" s="528" t="str">
        <f>IF(VLOOKUP($A179,Waffen!$B$4:$Q$200,16)=0," ",VLOOKUP($A179,Waffen!$B$4:$Q$200,16))</f>
        <v>---</v>
      </c>
      <c r="AM187" s="324"/>
    </row>
    <row r="188" spans="1:28" s="21" customFormat="1" ht="15" customHeight="1">
      <c r="A188" s="81" t="str">
        <f>IF(Waffenbogen!K190=" "," ",IF(AI173="GESCHOSS",VLOOKUP($A179,Waffen!$B$4:$Q$209,7),IF(AI173="GESCHOSS1",VLOOKUP($A179,Waffen!$B$4:$Q$209,7),IF(AND(AI173="JA",D179=TRUE,$AN$12=-2),VLOOKUP($A179,Waffen!$B$4:$Q$209,7)-3,VLOOKUP($A179,Waffen!$B$4:$Q$209,7)))))</f>
        <v> </v>
      </c>
      <c r="B188" s="520" t="str">
        <f>IF(K190=" "," ","INITATIVE BEIHÄNDIG")</f>
        <v> </v>
      </c>
      <c r="C188" s="521"/>
      <c r="D188" s="521"/>
      <c r="E188" s="521"/>
      <c r="F188" s="521"/>
      <c r="G188" s="521"/>
      <c r="H188" s="521"/>
      <c r="I188" s="521"/>
      <c r="J188" s="521"/>
      <c r="K188" s="169" t="str">
        <f>IF(K190=" "," ","SCHADEN K-M BEIDHÄNDIG")</f>
        <v> </v>
      </c>
      <c r="L188" s="132"/>
      <c r="M188" s="132"/>
      <c r="N188" s="147"/>
      <c r="O188" s="147"/>
      <c r="P188" s="144"/>
      <c r="Q188" s="144"/>
      <c r="R188" s="133"/>
      <c r="S188" s="148"/>
      <c r="T188" s="169" t="str">
        <f>IF(T190=" "," ","SCHADEN G BEIDHÄNDIG")</f>
        <v> </v>
      </c>
      <c r="U188" s="132"/>
      <c r="V188" s="132"/>
      <c r="W188" s="147"/>
      <c r="X188" s="147"/>
      <c r="Y188" s="144"/>
      <c r="Z188" s="144"/>
      <c r="AA188" s="133"/>
      <c r="AB188" s="148"/>
    </row>
    <row r="189" spans="2:28" s="21" customFormat="1" ht="14.25" customHeight="1">
      <c r="B189" s="138" t="str">
        <f>IF(K190=" "," ",IF(AI173="GESCHOSS"," ",IF(AI173="GESCHOSS1"," ","SCHLAG")))</f>
        <v> </v>
      </c>
      <c r="C189" s="139"/>
      <c r="D189" s="139"/>
      <c r="E189" s="139" t="str">
        <f>IF(K190=" "," ",IF(AC187=" "," ","WURF"))</f>
        <v> </v>
      </c>
      <c r="F189" s="139"/>
      <c r="G189" s="139"/>
      <c r="H189" s="139" t="str">
        <f>IF(K190=" "," ",IF(O177=0," ","BES."))</f>
        <v> </v>
      </c>
      <c r="J189" s="87"/>
      <c r="K189" s="498" t="str">
        <f>IF(K190=" "," ","BASIS")</f>
        <v> </v>
      </c>
      <c r="L189" s="345"/>
      <c r="M189" s="345"/>
      <c r="N189" s="499" t="str">
        <f>IF(K190=" "," ","NORMAL")</f>
        <v> </v>
      </c>
      <c r="O189" s="499"/>
      <c r="P189" s="499"/>
      <c r="Q189" s="139"/>
      <c r="R189" s="499" t="str">
        <f>IF(R190=" "," ","BES.")</f>
        <v> </v>
      </c>
      <c r="S189" s="346"/>
      <c r="T189" s="498" t="str">
        <f>IF(K190=" "," ","BASIS")</f>
        <v> </v>
      </c>
      <c r="U189" s="345"/>
      <c r="V189" s="345"/>
      <c r="W189" s="499" t="str">
        <f>IF(K190=" "," ","NORMAL")</f>
        <v> </v>
      </c>
      <c r="X189" s="499"/>
      <c r="Y189" s="499"/>
      <c r="Z189" s="139"/>
      <c r="AA189" s="499" t="str">
        <f>IF(AA190=" "," ","BES.")</f>
        <v> </v>
      </c>
      <c r="AB189" s="346"/>
    </row>
    <row r="190" spans="1:39" s="130" customFormat="1" ht="12.75">
      <c r="A190" s="155">
        <f>IF($B179=TRUE,0,$AN$12)</f>
        <v>-2</v>
      </c>
      <c r="B190" s="157" t="str">
        <f>IF(B189=" "," ",IF((A188-(IF(V182=" ",0,(IF(V182=" ",0,V182)))))&lt;=0,0,A188-(IF(V182=" ",0,V182))))</f>
        <v> </v>
      </c>
      <c r="C190" s="502" t="str">
        <f>IF(AI173="GESCHOSS"," ",IF(AI173="GESCHOSS1"," ",IF(K190=" "," ",(IF(R182=" "," ",R182-(2*R182))))))</f>
        <v> </v>
      </c>
      <c r="D190" s="503"/>
      <c r="E190" s="157" t="str">
        <f>IF(AND(K190&lt;&gt;" ",AC187&lt;&gt;" "),IF((A188-(IF(V182=" ",0,V182)))&lt;=0,0,A188-(IF(V182=" ",0,V182)))," ")</f>
        <v> </v>
      </c>
      <c r="F190" s="502" t="str">
        <f>IF(K190=" "," ",IF(AC187=" "," ",(IF(R182=" "," ",R182-(2*R182)))))</f>
        <v> </v>
      </c>
      <c r="G190" s="503"/>
      <c r="H190" s="157" t="str">
        <f>IF(O177=0," ",IF(K190=" "," ",IF((A188-(IF(V182=" ",0,V182)))&lt;=0,0,A188-(IF(V182=" ",0,V182)))))</f>
        <v> </v>
      </c>
      <c r="I190" s="506" t="str">
        <f>IF(K190=" "," ",IF(AND(O177=0,R182=" ")," ",(IF(R182=" "," ",R182-(2*R182)))))</f>
        <v> </v>
      </c>
      <c r="J190" s="507"/>
      <c r="K190" s="504" t="str">
        <f>IF(IF(VLOOKUP(A179,Waffen!$B$4:$M$177,10)=0,0,VLOOKUP($A179,Waffen!$B$4:$Q$209,10))=0," ",VLOOKUP($A179,Waffen!$B$4:$Q$209,10))</f>
        <v> </v>
      </c>
      <c r="L190" s="505"/>
      <c r="M190" s="351"/>
      <c r="N190" s="500" t="str">
        <f>IF(K190=" "," ",IF(AI173="GESCHOSS1",0+V183,IF(AND(AI173="+1",$D179=TRUE),0+M183+Q183+V183+1,0+M183+Q183+V183)))</f>
        <v> </v>
      </c>
      <c r="O190" s="500"/>
      <c r="P190" s="501"/>
      <c r="Q190" s="129"/>
      <c r="R190" s="500" t="str">
        <f>IF(K190=" "," ",IF(AI173="GESCHOSS1",0+AA183,IF(AND(AI173="+1",$D179=TRUE),0+M183+Q183+AA183+1,0+M183+Q183+AA183)))</f>
        <v> </v>
      </c>
      <c r="S190" s="508"/>
      <c r="T190" s="504" t="str">
        <f>IF(IF(AI173="NEIN",0,VLOOKUP($A179,Waffen!$B$4:$Q$209,11))=0," ",VLOOKUP($A179,Waffen!$B$4:$Q$209,11))</f>
        <v> </v>
      </c>
      <c r="U190" s="505"/>
      <c r="V190" s="351"/>
      <c r="W190" s="500" t="str">
        <f>IF(K190=" "," ",IF(AI173="GESCHOSS1",0+V183,IF(AND(AI173="+1",$D179=TRUE),0+M183+Q183+V183+1,0+M183+Q183+V183)))</f>
        <v> </v>
      </c>
      <c r="X190" s="500"/>
      <c r="Y190" s="501"/>
      <c r="Z190" s="129"/>
      <c r="AA190" s="500" t="str">
        <f>IF(K190=" "," ",IF(AI173="GESCHOSS1",0+AA183,IF(AND(AI173="+1",$D179=TRUE),0+M183+Q183+AA183+1,0+M183+Q183+AA183)))</f>
        <v> </v>
      </c>
      <c r="AB190" s="508"/>
      <c r="AE190" s="531"/>
      <c r="AF190" s="531"/>
      <c r="AG190" s="531"/>
      <c r="AH190" s="531"/>
      <c r="AK190" s="79"/>
      <c r="AL190" s="79"/>
      <c r="AM190" s="79"/>
    </row>
    <row r="191" s="130" customFormat="1" ht="10.5"/>
    <row r="192" spans="1:39" ht="14.25" customHeight="1">
      <c r="A192" s="65"/>
      <c r="B192" s="154"/>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row>
    <row r="193" spans="1:40" ht="12.75">
      <c r="A193" s="522"/>
      <c r="B193" s="522"/>
      <c r="C193" s="522"/>
      <c r="D193" s="522"/>
      <c r="E193" s="522"/>
      <c r="F193" s="522"/>
      <c r="G193" s="522"/>
      <c r="H193" s="522"/>
      <c r="I193" s="522"/>
      <c r="J193" s="522"/>
      <c r="K193" s="522"/>
      <c r="L193" s="522"/>
      <c r="M193" s="522"/>
      <c r="N193" s="522"/>
      <c r="O193" s="522"/>
      <c r="P193" s="522"/>
      <c r="Q193" s="522"/>
      <c r="R193" s="522"/>
      <c r="S193" s="522"/>
      <c r="T193" s="522"/>
      <c r="U193" s="522"/>
      <c r="V193" s="522"/>
      <c r="AC193" s="297" t="s">
        <v>1708</v>
      </c>
      <c r="AD193" s="281"/>
      <c r="AE193" s="281"/>
      <c r="AF193" s="281"/>
      <c r="AG193" s="281"/>
      <c r="AH193" s="281"/>
      <c r="AI193" s="535" t="str">
        <f>VLOOKUP($A199,Waffen!$B$4:$Q$209,12)</f>
        <v>NEIN</v>
      </c>
      <c r="AJ193" s="535"/>
      <c r="AK193" s="536"/>
      <c r="AL193" s="536"/>
      <c r="AM193" s="536"/>
      <c r="AN193" s="536"/>
    </row>
    <row r="194" spans="1:29" ht="3" customHeight="1">
      <c r="A194" s="143"/>
      <c r="B194" s="143"/>
      <c r="C194" s="143"/>
      <c r="D194" s="143"/>
      <c r="E194" s="143"/>
      <c r="F194" s="143"/>
      <c r="G194" s="143"/>
      <c r="H194" s="143"/>
      <c r="I194" s="143"/>
      <c r="J194" s="143"/>
      <c r="K194" s="143"/>
      <c r="L194" s="143"/>
      <c r="M194" s="143"/>
      <c r="N194" s="143"/>
      <c r="O194" s="143"/>
      <c r="P194" s="143"/>
      <c r="Q194" s="143"/>
      <c r="R194" s="143"/>
      <c r="S194" s="143"/>
      <c r="T194" s="143"/>
      <c r="U194" s="143"/>
      <c r="V194" s="143"/>
      <c r="AC194" s="130"/>
    </row>
    <row r="195" spans="1:34" ht="12.75">
      <c r="A195" s="16" t="s">
        <v>1710</v>
      </c>
      <c r="B195" s="523" t="str">
        <f>VLOOKUP($A199,Waffen!$B$4:$Q$209,2)</f>
        <v>---</v>
      </c>
      <c r="C195" s="524"/>
      <c r="D195" s="524"/>
      <c r="E195" s="524"/>
      <c r="F195" s="524"/>
      <c r="G195" s="524"/>
      <c r="H195" s="524"/>
      <c r="I195" s="524"/>
      <c r="J195" s="524"/>
      <c r="K195" s="524"/>
      <c r="L195" s="524"/>
      <c r="M195" s="524"/>
      <c r="N195" s="524"/>
      <c r="O195" s="524"/>
      <c r="P195" s="524"/>
      <c r="Q195" s="525"/>
      <c r="S195" s="134" t="s">
        <v>1711</v>
      </c>
      <c r="Z195" s="523">
        <f>VLOOKUP($A199,Waffen!$B$4:$Q$209,5)</f>
        <v>0</v>
      </c>
      <c r="AA195" s="525"/>
      <c r="AC195" s="73" t="s">
        <v>889</v>
      </c>
      <c r="AG195" s="523">
        <f>VLOOKUP($A199,Waffen!$B$4:$Q$209,4)</f>
        <v>0</v>
      </c>
      <c r="AH195" s="525"/>
    </row>
    <row r="196" spans="1:34" ht="3" customHeight="1">
      <c r="A196" s="16"/>
      <c r="B196" s="64"/>
      <c r="C196" s="64"/>
      <c r="D196" s="64"/>
      <c r="E196" s="64"/>
      <c r="F196" s="64"/>
      <c r="G196" s="64"/>
      <c r="H196" s="64"/>
      <c r="I196" s="64"/>
      <c r="J196" s="64"/>
      <c r="K196" s="64"/>
      <c r="L196" s="64"/>
      <c r="M196" s="64"/>
      <c r="N196" s="64"/>
      <c r="O196" s="64"/>
      <c r="P196" s="64"/>
      <c r="Q196" s="64"/>
      <c r="S196" s="134"/>
      <c r="Z196" s="64"/>
      <c r="AA196" s="64"/>
      <c r="AC196" s="73"/>
      <c r="AG196" s="64"/>
      <c r="AH196" s="64"/>
    </row>
    <row r="197" spans="1:40" ht="12.75">
      <c r="A197" s="73" t="s">
        <v>1709</v>
      </c>
      <c r="E197" s="517"/>
      <c r="F197" s="518"/>
      <c r="H197" s="73" t="s">
        <v>236</v>
      </c>
      <c r="O197" s="517"/>
      <c r="P197" s="518"/>
      <c r="R197" s="73" t="s">
        <v>1707</v>
      </c>
      <c r="T197" s="523"/>
      <c r="U197" s="375"/>
      <c r="V197" s="375"/>
      <c r="W197" s="375"/>
      <c r="X197" s="375"/>
      <c r="Y197" s="375"/>
      <c r="Z197" s="375"/>
      <c r="AA197" s="375"/>
      <c r="AB197" s="375"/>
      <c r="AC197" s="375"/>
      <c r="AD197" s="375"/>
      <c r="AE197" s="375"/>
      <c r="AF197" s="375"/>
      <c r="AG197" s="375"/>
      <c r="AH197" s="375"/>
      <c r="AI197" s="375"/>
      <c r="AJ197" s="375"/>
      <c r="AK197" s="375"/>
      <c r="AL197" s="375"/>
      <c r="AM197" s="375"/>
      <c r="AN197" s="376"/>
    </row>
    <row r="198" spans="1:16" ht="1.5" customHeight="1">
      <c r="A198" s="73"/>
      <c r="H198" s="73"/>
      <c r="I198" s="125" t="b">
        <v>0</v>
      </c>
      <c r="P198" s="73"/>
    </row>
    <row r="199" spans="1:4" s="125" customFormat="1" ht="1.5" customHeight="1">
      <c r="A199" s="135">
        <v>1</v>
      </c>
      <c r="B199" s="125" t="b">
        <v>0</v>
      </c>
      <c r="C199" s="125" t="b">
        <v>0</v>
      </c>
      <c r="D199" s="125" t="b">
        <v>0</v>
      </c>
    </row>
    <row r="200" ht="14.25" customHeight="1">
      <c r="A200" s="127" t="s">
        <v>724</v>
      </c>
    </row>
    <row r="201" spans="1:39" s="21" customFormat="1" ht="15" customHeight="1">
      <c r="A201" s="81">
        <f>MIN('BOGEN "ALLE"'!$AP$22:$AR$22)-A210</f>
        <v>17</v>
      </c>
      <c r="B201" s="138" t="str">
        <f>IF(AI193="GESCHOSS"," ",IF(AI193="GESCHOSS1"," ","SCHLAG"))</f>
        <v>SCHLAG</v>
      </c>
      <c r="C201" s="139"/>
      <c r="D201" s="139"/>
      <c r="E201" s="139" t="str">
        <f>IF(AC207=" "," ","WURF")</f>
        <v>WURF</v>
      </c>
      <c r="F201" s="139"/>
      <c r="G201" s="139"/>
      <c r="H201" s="139"/>
      <c r="I201" s="139" t="str">
        <f>IF(O197=0," ","BES.")</f>
        <v> </v>
      </c>
      <c r="J201" s="168"/>
      <c r="K201" s="532" t="str">
        <f>IF(K202=" "," ","MOD SPEZ.")</f>
        <v> </v>
      </c>
      <c r="L201" s="533"/>
      <c r="M201" s="533"/>
      <c r="N201" s="534"/>
      <c r="O201" s="532" t="str">
        <f>IF(AND(O202=" ",Q202=" ")," ","MOD.ST")</f>
        <v>MOD.ST</v>
      </c>
      <c r="P201" s="533"/>
      <c r="Q201" s="534"/>
      <c r="R201" s="532" t="str">
        <f>IF(R202=" "," ","MOD GE")</f>
        <v>MOD GE</v>
      </c>
      <c r="S201" s="533"/>
      <c r="T201" s="533"/>
      <c r="U201" s="534"/>
      <c r="V201" s="532" t="str">
        <f>IF(E197=0," ","MOD. WAFFE")</f>
        <v> </v>
      </c>
      <c r="W201" s="533"/>
      <c r="X201" s="533"/>
      <c r="Y201" s="533"/>
      <c r="Z201" s="534"/>
      <c r="AA201" s="532" t="str">
        <f>IF(O197=0," ","MOD WAFFE SPEZIELL")</f>
        <v> </v>
      </c>
      <c r="AB201" s="533"/>
      <c r="AC201" s="533"/>
      <c r="AD201" s="533"/>
      <c r="AE201" s="533"/>
      <c r="AF201" s="533"/>
      <c r="AG201" s="533"/>
      <c r="AH201" s="533"/>
      <c r="AI201" s="533"/>
      <c r="AJ201" s="533"/>
      <c r="AK201" s="533"/>
      <c r="AL201" s="533"/>
      <c r="AM201" s="534"/>
    </row>
    <row r="202" spans="2:39" s="21" customFormat="1" ht="15" customHeight="1">
      <c r="B202" s="142" t="str">
        <f>IF(AI193="GESCHOSS"," ",IF(AI193="Geschoss1"," ",IF(A199=1," ",A201-(IF(K202=" ",0,K202))-(IF(O202=" ",0,O202))-(IF(V202=" ",0,V202)))))</f>
        <v> </v>
      </c>
      <c r="C202" s="99"/>
      <c r="D202" s="128"/>
      <c r="E202" s="136" t="str">
        <f>IF(A199=1," ",IF(AC207=" "," ",IF(AI193="GESCHOSS1",A201-(IF(K202=" ",0,K202))-(IF(R202=" ",0,R202))-(IF(V202=" ","0",V202)),A201-(IF(K202=" ",0,K202))-(IF(O202=" ",0,O202))-(IF(R202=" ",0,R202))-(IF(V202=" ","0",V202)))))</f>
        <v> </v>
      </c>
      <c r="F202" s="99"/>
      <c r="G202" s="99"/>
      <c r="H202" s="128"/>
      <c r="I202" s="141" t="str">
        <f>IF(O197=0," ",IF(AI193="Geschoss1",A201-(IF(O202=" ",0,O202))-(IF(AA202=" ",0,AA202))-(IF(AND(AC207&lt;&gt;" ",R202&lt;&gt;" "),R202,0)),A201-(IF(K202=" ",0,K202))-(IF(O202=" ",0,O202))-(IF(AA202=" ",0,AA202))-(IF(AND(AC207&lt;&gt;" ",R202&lt;&gt;" "),R202,0))))</f>
        <v> </v>
      </c>
      <c r="J202" s="126"/>
      <c r="K202" s="515" t="str">
        <f>IF($AN$12&lt;-2," ",IF($C199=TRUE,"+1"," "))</f>
        <v> </v>
      </c>
      <c r="L202" s="537"/>
      <c r="M202" s="509" t="str">
        <f>IF($AN$12&lt;-2," ",IF($C199=TRUE,"+2"," "))</f>
        <v> </v>
      </c>
      <c r="N202" s="514"/>
      <c r="O202" s="167" t="str">
        <f>IF('BOGEN "ALLE"'!$G$26="NORMAL"," ",'BOGEN "ALLE"'!$G$26)</f>
        <v>+2</v>
      </c>
      <c r="P202" s="136"/>
      <c r="Q202" s="166" t="str">
        <f>IF('BOGEN "ALLE"'!$K$26="KEINE"," ",'BOGEN "ALLE"'!$K$26)</f>
        <v>+3</v>
      </c>
      <c r="R202" s="515" t="str">
        <f>IF('BOGEN "ALLE"'!$K$30="KEINE"," ",'BOGEN "ALLE"'!$K$30)</f>
        <v>+3</v>
      </c>
      <c r="S202" s="509"/>
      <c r="T202" s="509"/>
      <c r="U202" s="516"/>
      <c r="V202" s="515" t="str">
        <f>IF(E197=""," ",E197)</f>
        <v> </v>
      </c>
      <c r="W202" s="509"/>
      <c r="X202" s="509"/>
      <c r="Y202" s="509"/>
      <c r="Z202" s="516"/>
      <c r="AA202" s="526" t="str">
        <f>IF(O197=0," ",O197)</f>
        <v> </v>
      </c>
      <c r="AB202" s="500"/>
      <c r="AC202" s="527" t="str">
        <f>IF(O197=0," ","gg.")</f>
        <v> </v>
      </c>
      <c r="AD202" s="527"/>
      <c r="AE202" s="509" t="str">
        <f>IF(T197=0," ",T197)</f>
        <v> </v>
      </c>
      <c r="AF202" s="529"/>
      <c r="AG202" s="529"/>
      <c r="AH202" s="529"/>
      <c r="AI202" s="529"/>
      <c r="AJ202" s="529"/>
      <c r="AK202" s="529"/>
      <c r="AL202" s="529"/>
      <c r="AM202" s="530"/>
    </row>
    <row r="203" spans="2:39" s="21" customFormat="1" ht="4.5" customHeight="1">
      <c r="B203" s="149"/>
      <c r="C203" s="86"/>
      <c r="D203" s="139"/>
      <c r="E203" s="149"/>
      <c r="F203" s="86"/>
      <c r="G203" s="86"/>
      <c r="H203" s="139"/>
      <c r="I203" s="150"/>
      <c r="J203" s="86"/>
      <c r="K203" s="511"/>
      <c r="L203" s="511"/>
      <c r="M203" s="511">
        <f>IF(M202=" ",0,M202)</f>
        <v>0</v>
      </c>
      <c r="N203" s="511"/>
      <c r="O203" s="299"/>
      <c r="P203" s="300"/>
      <c r="Q203" s="298" t="str">
        <f>IF(Q202=" ",0,Q202)</f>
        <v>+3</v>
      </c>
      <c r="R203" s="299"/>
      <c r="S203" s="299"/>
      <c r="T203" s="299"/>
      <c r="U203" s="299"/>
      <c r="V203" s="511">
        <f>IF(V202=" ",0,V202)</f>
        <v>0</v>
      </c>
      <c r="W203" s="511"/>
      <c r="X203" s="511"/>
      <c r="Y203" s="511"/>
      <c r="Z203" s="511"/>
      <c r="AA203" s="519">
        <f>IF(AA202=" ",0,AA202)</f>
        <v>0</v>
      </c>
      <c r="AB203" s="519"/>
      <c r="AC203" s="301"/>
      <c r="AD203" s="151"/>
      <c r="AE203" s="152"/>
      <c r="AF203" s="153"/>
      <c r="AG203" s="153"/>
      <c r="AH203" s="153"/>
      <c r="AI203" s="153"/>
      <c r="AJ203" s="153"/>
      <c r="AK203" s="153"/>
      <c r="AL203" s="153"/>
      <c r="AM203" s="148"/>
    </row>
    <row r="204" spans="1:49" s="21" customFormat="1" ht="14.25" customHeight="1">
      <c r="A204" s="127" t="s">
        <v>235</v>
      </c>
      <c r="B204" s="131"/>
      <c r="C204" s="80"/>
      <c r="D204" s="146"/>
      <c r="E204" s="131"/>
      <c r="F204" s="80"/>
      <c r="G204" s="80"/>
      <c r="H204" s="146"/>
      <c r="I204" s="147"/>
      <c r="J204" s="80"/>
      <c r="K204" s="132"/>
      <c r="L204" s="132"/>
      <c r="M204" s="132"/>
      <c r="N204" s="132"/>
      <c r="O204" s="131"/>
      <c r="P204" s="131"/>
      <c r="Q204" s="131"/>
      <c r="R204" s="131"/>
      <c r="S204" s="131"/>
      <c r="T204" s="131"/>
      <c r="U204" s="131"/>
      <c r="V204" s="132"/>
      <c r="W204" s="132"/>
      <c r="X204" s="132"/>
      <c r="Y204" s="132"/>
      <c r="Z204" s="132"/>
      <c r="AA204" s="147"/>
      <c r="AB204" s="147"/>
      <c r="AC204" s="144"/>
      <c r="AD204" s="144"/>
      <c r="AE204" s="133"/>
      <c r="AF204" s="148"/>
      <c r="AG204" s="148"/>
      <c r="AH204" s="148"/>
      <c r="AI204" s="148"/>
      <c r="AJ204" s="148"/>
      <c r="AK204" s="148"/>
      <c r="AL204" s="148"/>
      <c r="AM204" s="148"/>
      <c r="AO204" s="146"/>
      <c r="AP204" s="146"/>
      <c r="AQ204" s="146"/>
      <c r="AR204" s="146"/>
      <c r="AS204" s="146"/>
      <c r="AT204" s="146"/>
      <c r="AU204" s="146"/>
      <c r="AV204" s="146"/>
      <c r="AW204" s="146"/>
    </row>
    <row r="205" spans="1:49" s="21" customFormat="1" ht="15" customHeight="1">
      <c r="A205" s="81" t="str">
        <f>IF(K207=" "," ",VLOOKUP($A199,Waffen!$B$4:$Q$209,6))</f>
        <v> </v>
      </c>
      <c r="B205" s="496" t="str">
        <f>IF(K207=" "," ","INITATIVE EINHÄNDIG")</f>
        <v> </v>
      </c>
      <c r="C205" s="497"/>
      <c r="D205" s="497"/>
      <c r="E205" s="497"/>
      <c r="F205" s="497"/>
      <c r="G205" s="497"/>
      <c r="H205" s="497"/>
      <c r="I205" s="497"/>
      <c r="J205" s="497"/>
      <c r="K205" s="170" t="str">
        <f>IF(K207=" "," ","SCHADEN K-M EINHÄNDIG")</f>
        <v> </v>
      </c>
      <c r="L205" s="136"/>
      <c r="M205" s="136"/>
      <c r="N205" s="136"/>
      <c r="O205" s="136"/>
      <c r="P205" s="136"/>
      <c r="Q205" s="136"/>
      <c r="R205" s="136"/>
      <c r="S205" s="136"/>
      <c r="T205" s="170" t="str">
        <f>IF(K207=" "," ","SCHADEN G EINHÄNDIG")</f>
        <v> </v>
      </c>
      <c r="U205" s="137"/>
      <c r="V205" s="137"/>
      <c r="W205" s="137"/>
      <c r="X205" s="137"/>
      <c r="Y205" s="137"/>
      <c r="Z205" s="137"/>
      <c r="AA205" s="136"/>
      <c r="AB205" s="136"/>
      <c r="AC205" s="158" t="str">
        <f>IF(AC207=" "," ","SCHUSSFOLGE und REICHWEITEN")</f>
        <v>SCHUSSFOLGE und REICHWEITEN</v>
      </c>
      <c r="AK205" s="148"/>
      <c r="AL205" s="148"/>
      <c r="AM205" s="148"/>
      <c r="AO205" s="146"/>
      <c r="AP205" s="80"/>
      <c r="AQ205" s="80"/>
      <c r="AR205" s="146"/>
      <c r="AS205" s="146"/>
      <c r="AT205" s="146"/>
      <c r="AU205" s="146"/>
      <c r="AV205" s="146"/>
      <c r="AW205" s="80"/>
    </row>
    <row r="206" spans="2:49" s="21" customFormat="1" ht="15" customHeight="1">
      <c r="B206" s="138" t="str">
        <f>IF(AI193="GESCHOSS"," ",IF(AI193="GESCHOSS1"," ",IF(K207=" "," ","SCHLAG")))</f>
        <v> </v>
      </c>
      <c r="C206" s="139"/>
      <c r="D206" s="139"/>
      <c r="E206" s="139" t="str">
        <f>IF(AC207=" "," ",IF(K207=" "," ","WURF"))</f>
        <v> </v>
      </c>
      <c r="F206" s="139"/>
      <c r="G206" s="139"/>
      <c r="H206" s="139" t="str">
        <f>IF(O197=0," ",IF(K207=" "," ","BES."))</f>
        <v> </v>
      </c>
      <c r="I206" s="86"/>
      <c r="J206" s="140"/>
      <c r="K206" s="498" t="str">
        <f>IF(K207=" "," ","BASIS")</f>
        <v> </v>
      </c>
      <c r="L206" s="345"/>
      <c r="M206" s="345"/>
      <c r="N206" s="499" t="str">
        <f>IF(K207=" "," ","NORMAL")</f>
        <v> </v>
      </c>
      <c r="O206" s="499"/>
      <c r="P206" s="499"/>
      <c r="Q206" s="139"/>
      <c r="R206" s="499" t="str">
        <f>IF(R207=" "," ","BES.")</f>
        <v> </v>
      </c>
      <c r="S206" s="346"/>
      <c r="T206" s="498" t="str">
        <f>IF(K207=" "," ","BASIS")</f>
        <v> </v>
      </c>
      <c r="U206" s="345"/>
      <c r="V206" s="345"/>
      <c r="W206" s="499" t="str">
        <f>IF(K207=" "," ","NORMAL")</f>
        <v> </v>
      </c>
      <c r="X206" s="499"/>
      <c r="Y206" s="499"/>
      <c r="Z206" s="139"/>
      <c r="AA206" s="499" t="str">
        <f>IF(AA207=" "," ","BES.")</f>
        <v> </v>
      </c>
      <c r="AB206" s="346"/>
      <c r="AC206" s="532" t="str">
        <f>IF(AC207=" "," ","SF")</f>
        <v>SF</v>
      </c>
      <c r="AD206" s="346"/>
      <c r="AF206" s="532" t="str">
        <f>IF(AF207=" "," ","K")</f>
        <v>K</v>
      </c>
      <c r="AG206" s="346"/>
      <c r="AI206" s="532" t="str">
        <f>IF(AI207=" "," ","M")</f>
        <v>M</v>
      </c>
      <c r="AJ206" s="346"/>
      <c r="AL206" s="532" t="str">
        <f>IF(AL207=" "," ","G")</f>
        <v>G</v>
      </c>
      <c r="AM206" s="346"/>
      <c r="AO206" s="61"/>
      <c r="AP206" s="145"/>
      <c r="AQ206" s="80"/>
      <c r="AR206" s="146"/>
      <c r="AS206" s="146"/>
      <c r="AT206" s="146"/>
      <c r="AU206" s="146"/>
      <c r="AV206" s="146"/>
      <c r="AW206" s="146"/>
    </row>
    <row r="207" spans="2:39" s="21" customFormat="1" ht="15" customHeight="1">
      <c r="B207" s="157" t="str">
        <f>IF(AI193="GESCHOSS"," ",IF(K207=" "," ",IF((A205-(IF(V202=" ",0,V202)))&lt;=0,0,A205-(IF(V202=" ",0,V202)))))</f>
        <v> </v>
      </c>
      <c r="C207" s="502" t="str">
        <f>IF(AI193&lt;&gt;"GESCHOSS",IF(K207=" "," ",(IF(R202=" "," ",R202-(2*R202))))," ")</f>
        <v> </v>
      </c>
      <c r="D207" s="538"/>
      <c r="E207" s="157" t="str">
        <f>IF(AC207=" "," ",IF(K207=" "," ",IF((A205-IF(V202=" ",0,V202))&lt;=0,0,A205-(IF(V202=" ",0,V202)))))</f>
        <v> </v>
      </c>
      <c r="F207" s="502" t="str">
        <f>IF(K207=" "," ",IF(AC207=" "," ",(IF(R202=" "," ",R202-(2*R202)))))</f>
        <v> </v>
      </c>
      <c r="G207" s="538"/>
      <c r="H207" s="156" t="str">
        <f>IF(O197=0," ",IF(K207=" "," ",IF((A205-(IF(AA202=" ",0,AA202)))&lt;=0,0,A205-(IF(AA202=" ",0,AA202)))))</f>
        <v> </v>
      </c>
      <c r="I207" s="502" t="str">
        <f>IF(O197=0," ",IF(K207=" "," ",(IF(R202=" "," ",R202-(2*R202)))))</f>
        <v> </v>
      </c>
      <c r="J207" s="503"/>
      <c r="K207" s="512" t="str">
        <f>IF(VLOOKUP(A199,Waffen!$B$4:$M$177,8)=0," ",VLOOKUP($A199,Waffen!$B$4:$Q$209,8))</f>
        <v> </v>
      </c>
      <c r="L207" s="513"/>
      <c r="M207" s="510"/>
      <c r="N207" s="509" t="str">
        <f>IF(K207=" "," ",IF(AI193="GESCHOSS1",0+V203,IF(AND(AI193="+1",$D199=TRUE),0+M203+Q203+V203,0+M203+Q203+V203)))</f>
        <v> </v>
      </c>
      <c r="O207" s="509"/>
      <c r="P207" s="509"/>
      <c r="Q207" s="129"/>
      <c r="R207" s="509" t="str">
        <f>IF(O197=0," ",IF(K207=" "," ",IF(AI193="Geschoss1",0+AA203,IF(AND(AI193="+1",$D199=TRUE),0+M203+Q203+AA203,0+M203+Q203+AA203))))</f>
        <v> </v>
      </c>
      <c r="S207" s="516"/>
      <c r="T207" s="504" t="str">
        <f>IF(VLOOKUP(A199,Waffen!$B$4:$M$177,9)=0," ",VLOOKUP($A199,Waffen!$B$4:$Q$209,9))</f>
        <v> </v>
      </c>
      <c r="U207" s="505"/>
      <c r="V207" s="351"/>
      <c r="W207" s="509" t="str">
        <f>IF(K207=" "," ",IF(AI193="GESCHOSS1",0+V203,IF(AND(AI193="+1",$D199=TRUE),0+M203+Q203+V203,0+M203+Q203+V203)))</f>
        <v> </v>
      </c>
      <c r="X207" s="509"/>
      <c r="Y207" s="510"/>
      <c r="Z207" s="129"/>
      <c r="AA207" s="509" t="str">
        <f>IF(O197=0," ",IF(K207=" "," ",IF(AI193="Geschoss1",0+AA203,IF(AND(AI193="+1",$D199=TRUE),0+M203+Q203+AA203,0+M203+Q203+AA203))))</f>
        <v> </v>
      </c>
      <c r="AB207" s="516"/>
      <c r="AC207" s="528" t="str">
        <f>IF(VLOOKUP($A199,Waffen!$B$4:$Q$200,13)=0," ",VLOOKUP($A199,Waffen!$B$4:$Q$200,13))</f>
        <v>---</v>
      </c>
      <c r="AD207" s="324"/>
      <c r="AF207" s="528" t="str">
        <f>IF(VLOOKUP($A199,Waffen!$B$4:$Q$200,14)=0," ",VLOOKUP($A199,Waffen!$B$4:$Q$200,14))</f>
        <v>---</v>
      </c>
      <c r="AG207" s="324"/>
      <c r="AI207" s="528" t="str">
        <f>IF(VLOOKUP($A199,Waffen!$B$4:$Q$200,15)=0," ",VLOOKUP($A199,Waffen!$B$4:$Q$200,15))</f>
        <v>---</v>
      </c>
      <c r="AJ207" s="324"/>
      <c r="AL207" s="528" t="str">
        <f>IF(VLOOKUP($A199,Waffen!$B$4:$Q$200,16)=0," ",VLOOKUP($A199,Waffen!$B$4:$Q$200,16))</f>
        <v>---</v>
      </c>
      <c r="AM207" s="324"/>
    </row>
    <row r="208" spans="1:28" s="21" customFormat="1" ht="15" customHeight="1">
      <c r="A208" s="81" t="str">
        <f>IF(Waffenbogen!K210=" "," ",IF(AI193="GESCHOSS",VLOOKUP($A199,Waffen!$B$4:$Q$209,7),IF(AI193="GESCHOSS1",VLOOKUP($A199,Waffen!$B$4:$Q$209,7),IF(AND(AI193="JA",D199=TRUE,$AN$12=-2),VLOOKUP($A199,Waffen!$B$4:$Q$209,7)-3,VLOOKUP($A199,Waffen!$B$4:$Q$209,7)))))</f>
        <v> </v>
      </c>
      <c r="B208" s="520" t="str">
        <f>IF(K210=" "," ","INITATIVE BEIHÄNDIG")</f>
        <v> </v>
      </c>
      <c r="C208" s="521"/>
      <c r="D208" s="521"/>
      <c r="E208" s="521"/>
      <c r="F208" s="521"/>
      <c r="G208" s="521"/>
      <c r="H208" s="521"/>
      <c r="I208" s="521"/>
      <c r="J208" s="521"/>
      <c r="K208" s="169" t="str">
        <f>IF(K210=" "," ","SCHADEN K-M BEIDHÄNDIG")</f>
        <v> </v>
      </c>
      <c r="L208" s="132"/>
      <c r="M208" s="132"/>
      <c r="N208" s="147"/>
      <c r="O208" s="147"/>
      <c r="P208" s="144"/>
      <c r="Q208" s="144"/>
      <c r="R208" s="133"/>
      <c r="S208" s="148"/>
      <c r="T208" s="169" t="str">
        <f>IF(T210=" "," ","SCHADEN G BEIDHÄNDIG")</f>
        <v> </v>
      </c>
      <c r="U208" s="132"/>
      <c r="V208" s="132"/>
      <c r="W208" s="147"/>
      <c r="X208" s="147"/>
      <c r="Y208" s="144"/>
      <c r="Z208" s="144"/>
      <c r="AA208" s="133"/>
      <c r="AB208" s="148"/>
    </row>
    <row r="209" spans="2:28" s="21" customFormat="1" ht="14.25" customHeight="1">
      <c r="B209" s="138" t="str">
        <f>IF(K210=" "," ",IF(AI193="GESCHOSS"," ",IF(AI193="GESCHOSS1"," ","SCHLAG")))</f>
        <v> </v>
      </c>
      <c r="C209" s="139"/>
      <c r="D209" s="139"/>
      <c r="E209" s="139" t="str">
        <f>IF(K210=" "," ",IF(AC207=" "," ","WURF"))</f>
        <v> </v>
      </c>
      <c r="F209" s="139"/>
      <c r="G209" s="139"/>
      <c r="H209" s="139" t="str">
        <f>IF(K210=" "," ",IF(O197=0," ","BES."))</f>
        <v> </v>
      </c>
      <c r="J209" s="87"/>
      <c r="K209" s="498" t="str">
        <f>IF(K210=" "," ","BASIS")</f>
        <v> </v>
      </c>
      <c r="L209" s="345"/>
      <c r="M209" s="345"/>
      <c r="N209" s="499" t="str">
        <f>IF(K210=" "," ","NORMAL")</f>
        <v> </v>
      </c>
      <c r="O209" s="499"/>
      <c r="P209" s="499"/>
      <c r="Q209" s="139"/>
      <c r="R209" s="499" t="str">
        <f>IF(R210=" "," ","BES.")</f>
        <v> </v>
      </c>
      <c r="S209" s="346"/>
      <c r="T209" s="498" t="str">
        <f>IF(K210=" "," ","BASIS")</f>
        <v> </v>
      </c>
      <c r="U209" s="345"/>
      <c r="V209" s="345"/>
      <c r="W209" s="499" t="str">
        <f>IF(K210=" "," ","NORMAL")</f>
        <v> </v>
      </c>
      <c r="X209" s="499"/>
      <c r="Y209" s="499"/>
      <c r="Z209" s="139"/>
      <c r="AA209" s="499" t="str">
        <f>IF(AA210=" "," ","BES.")</f>
        <v> </v>
      </c>
      <c r="AB209" s="346"/>
    </row>
    <row r="210" spans="1:39" s="130" customFormat="1" ht="12.75">
      <c r="A210" s="155">
        <f>IF($B199=TRUE,0,$AN$12)</f>
        <v>-2</v>
      </c>
      <c r="B210" s="157" t="str">
        <f>IF(B209=" "," ",IF((A208-(IF(V202=" ",0,(IF(V202=" ",0,V202)))))&lt;=0,0,A208-(IF(V202=" ",0,V202))))</f>
        <v> </v>
      </c>
      <c r="C210" s="502" t="str">
        <f>IF(AI193="GESCHOSS"," ",IF(AI193="GESCHOSS1"," ",IF(K210=" "," ",(IF(R202=" "," ",R202-(2*R202))))))</f>
        <v> </v>
      </c>
      <c r="D210" s="503"/>
      <c r="E210" s="157" t="str">
        <f>IF(AND(K210&lt;&gt;" ",AC207&lt;&gt;" "),IF((A208-(IF(V202=" ",0,V202)))&lt;=0,0,A208-(IF(V202=" ",0,V202)))," ")</f>
        <v> </v>
      </c>
      <c r="F210" s="502" t="str">
        <f>IF(K210=" "," ",IF(AC207=" "," ",(IF(R202=" "," ",R202-(2*R202)))))</f>
        <v> </v>
      </c>
      <c r="G210" s="503"/>
      <c r="H210" s="157" t="str">
        <f>IF(O197=0," ",IF(K210=" "," ",IF((A208-(IF(V202=" ",0,V202)))&lt;=0,0,A208-(IF(V202=" ",0,V202)))))</f>
        <v> </v>
      </c>
      <c r="I210" s="506" t="str">
        <f>IF(K210=" "," ",IF(AND(O197=0,R202=" ")," ",(IF(R202=" "," ",R202-(2*R202)))))</f>
        <v> </v>
      </c>
      <c r="J210" s="507"/>
      <c r="K210" s="504" t="str">
        <f>IF(IF(VLOOKUP(A199,Waffen!$B$4:$M$177,10)=0,0,VLOOKUP($A199,Waffen!$B$4:$Q$209,10))=0," ",VLOOKUP($A199,Waffen!$B$4:$Q$209,10))</f>
        <v> </v>
      </c>
      <c r="L210" s="505"/>
      <c r="M210" s="351"/>
      <c r="N210" s="500" t="str">
        <f>IF(K210=" "," ",IF(AI193="GESCHOSS1",0+V203,IF(AND(AI193="+1",$D199=TRUE),0+M203+Q203+V203+1,0+M203+Q203+V203)))</f>
        <v> </v>
      </c>
      <c r="O210" s="500"/>
      <c r="P210" s="501"/>
      <c r="Q210" s="129"/>
      <c r="R210" s="500" t="str">
        <f>IF(K210=" "," ",IF(AI193="GESCHOSS1",0+AA203,IF(AND(AI193="+1",$D199=TRUE),0+M203+Q203+AA203+1,0+M203+Q203+AA203)))</f>
        <v> </v>
      </c>
      <c r="S210" s="508"/>
      <c r="T210" s="504" t="str">
        <f>IF(IF(AI193="NEIN",0,VLOOKUP($A199,Waffen!$B$4:$Q$209,11))=0," ",VLOOKUP($A199,Waffen!$B$4:$Q$209,11))</f>
        <v> </v>
      </c>
      <c r="U210" s="505"/>
      <c r="V210" s="351"/>
      <c r="W210" s="500" t="str">
        <f>IF(K210=" "," ",IF(AI193="GESCHOSS1",0+V203,IF(AND(AI193="+1",$D199=TRUE),0+M203+Q203+V203+1,0+M203+Q203+V203)))</f>
        <v> </v>
      </c>
      <c r="X210" s="500"/>
      <c r="Y210" s="501"/>
      <c r="Z210" s="129"/>
      <c r="AA210" s="500" t="str">
        <f>IF(K210=" "," ",IF(AI193="GESCHOSS1",0+AA203,IF(AND(AI193="+1",$D199=TRUE),0+M203+Q203+AA203+1,0+M203+Q203+AA203)))</f>
        <v> </v>
      </c>
      <c r="AB210" s="508"/>
      <c r="AE210" s="531"/>
      <c r="AF210" s="531"/>
      <c r="AG210" s="531"/>
      <c r="AH210" s="531"/>
      <c r="AK210" s="79"/>
      <c r="AL210" s="79"/>
      <c r="AM210" s="79"/>
    </row>
    <row r="211" s="130" customFormat="1" ht="10.5"/>
    <row r="212" spans="1:39" ht="14.25" customHeight="1">
      <c r="A212" s="65"/>
      <c r="B212" s="154"/>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row>
    <row r="213" spans="1:40" ht="12.75">
      <c r="A213" s="522"/>
      <c r="B213" s="522"/>
      <c r="C213" s="522"/>
      <c r="D213" s="522"/>
      <c r="E213" s="522"/>
      <c r="F213" s="522"/>
      <c r="G213" s="522"/>
      <c r="H213" s="522"/>
      <c r="I213" s="522"/>
      <c r="J213" s="522"/>
      <c r="K213" s="522"/>
      <c r="L213" s="522"/>
      <c r="M213" s="522"/>
      <c r="N213" s="522"/>
      <c r="O213" s="522"/>
      <c r="P213" s="522"/>
      <c r="Q213" s="522"/>
      <c r="R213" s="522"/>
      <c r="S213" s="522"/>
      <c r="T213" s="522"/>
      <c r="U213" s="522"/>
      <c r="V213" s="522"/>
      <c r="AC213" s="297" t="s">
        <v>1708</v>
      </c>
      <c r="AD213" s="281"/>
      <c r="AE213" s="281"/>
      <c r="AF213" s="281"/>
      <c r="AG213" s="281"/>
      <c r="AH213" s="281"/>
      <c r="AI213" s="535" t="str">
        <f>VLOOKUP($A219,Waffen!$B$4:$Q$209,12)</f>
        <v>NEIN</v>
      </c>
      <c r="AJ213" s="535"/>
      <c r="AK213" s="536"/>
      <c r="AL213" s="536"/>
      <c r="AM213" s="536"/>
      <c r="AN213" s="536"/>
    </row>
    <row r="214" spans="1:29" ht="3" customHeight="1">
      <c r="A214" s="143"/>
      <c r="B214" s="143"/>
      <c r="C214" s="143"/>
      <c r="D214" s="143"/>
      <c r="E214" s="143"/>
      <c r="F214" s="143"/>
      <c r="G214" s="143"/>
      <c r="H214" s="143"/>
      <c r="I214" s="143"/>
      <c r="J214" s="143"/>
      <c r="K214" s="143"/>
      <c r="L214" s="143"/>
      <c r="M214" s="143"/>
      <c r="N214" s="143"/>
      <c r="O214" s="143"/>
      <c r="P214" s="143"/>
      <c r="Q214" s="143"/>
      <c r="R214" s="143"/>
      <c r="S214" s="143"/>
      <c r="T214" s="143"/>
      <c r="U214" s="143"/>
      <c r="V214" s="143"/>
      <c r="AC214" s="130"/>
    </row>
    <row r="215" spans="1:34" ht="12.75">
      <c r="A215" s="16" t="s">
        <v>1710</v>
      </c>
      <c r="B215" s="523" t="str">
        <f>VLOOKUP($A219,Waffen!$B$4:$Q$209,2)</f>
        <v>---</v>
      </c>
      <c r="C215" s="524"/>
      <c r="D215" s="524"/>
      <c r="E215" s="524"/>
      <c r="F215" s="524"/>
      <c r="G215" s="524"/>
      <c r="H215" s="524"/>
      <c r="I215" s="524"/>
      <c r="J215" s="524"/>
      <c r="K215" s="524"/>
      <c r="L215" s="524"/>
      <c r="M215" s="524"/>
      <c r="N215" s="524"/>
      <c r="O215" s="524"/>
      <c r="P215" s="524"/>
      <c r="Q215" s="525"/>
      <c r="S215" s="134" t="s">
        <v>1711</v>
      </c>
      <c r="Z215" s="523">
        <f>VLOOKUP($A219,Waffen!$B$4:$Q$209,5)</f>
        <v>0</v>
      </c>
      <c r="AA215" s="525"/>
      <c r="AC215" s="73" t="s">
        <v>889</v>
      </c>
      <c r="AG215" s="523">
        <f>VLOOKUP($A219,Waffen!$B$4:$Q$209,4)</f>
        <v>0</v>
      </c>
      <c r="AH215" s="525"/>
    </row>
    <row r="216" spans="1:34" ht="3" customHeight="1">
      <c r="A216" s="16"/>
      <c r="B216" s="64"/>
      <c r="C216" s="64"/>
      <c r="D216" s="64"/>
      <c r="E216" s="64"/>
      <c r="F216" s="64"/>
      <c r="G216" s="64"/>
      <c r="H216" s="64"/>
      <c r="I216" s="64"/>
      <c r="J216" s="64"/>
      <c r="K216" s="64"/>
      <c r="L216" s="64"/>
      <c r="M216" s="64"/>
      <c r="N216" s="64"/>
      <c r="O216" s="64"/>
      <c r="P216" s="64"/>
      <c r="Q216" s="64"/>
      <c r="S216" s="134"/>
      <c r="Z216" s="64"/>
      <c r="AA216" s="64"/>
      <c r="AC216" s="73"/>
      <c r="AG216" s="64"/>
      <c r="AH216" s="64"/>
    </row>
    <row r="217" spans="1:40" ht="12.75">
      <c r="A217" s="73" t="s">
        <v>1709</v>
      </c>
      <c r="E217" s="517"/>
      <c r="F217" s="518"/>
      <c r="H217" s="73" t="s">
        <v>236</v>
      </c>
      <c r="O217" s="517"/>
      <c r="P217" s="518"/>
      <c r="R217" s="73" t="s">
        <v>1707</v>
      </c>
      <c r="T217" s="523"/>
      <c r="U217" s="375"/>
      <c r="V217" s="375"/>
      <c r="W217" s="375"/>
      <c r="X217" s="375"/>
      <c r="Y217" s="375"/>
      <c r="Z217" s="375"/>
      <c r="AA217" s="375"/>
      <c r="AB217" s="375"/>
      <c r="AC217" s="375"/>
      <c r="AD217" s="375"/>
      <c r="AE217" s="375"/>
      <c r="AF217" s="375"/>
      <c r="AG217" s="375"/>
      <c r="AH217" s="375"/>
      <c r="AI217" s="375"/>
      <c r="AJ217" s="375"/>
      <c r="AK217" s="375"/>
      <c r="AL217" s="375"/>
      <c r="AM217" s="375"/>
      <c r="AN217" s="376"/>
    </row>
    <row r="218" spans="1:16" ht="1.5" customHeight="1">
      <c r="A218" s="73"/>
      <c r="H218" s="73"/>
      <c r="I218" s="125" t="b">
        <v>0</v>
      </c>
      <c r="P218" s="73"/>
    </row>
    <row r="219" spans="1:4" s="125" customFormat="1" ht="1.5" customHeight="1">
      <c r="A219" s="135">
        <v>1</v>
      </c>
      <c r="B219" s="125" t="b">
        <v>0</v>
      </c>
      <c r="C219" s="125" t="b">
        <v>0</v>
      </c>
      <c r="D219" s="125" t="b">
        <v>0</v>
      </c>
    </row>
    <row r="220" ht="14.25" customHeight="1">
      <c r="A220" s="127" t="s">
        <v>724</v>
      </c>
    </row>
    <row r="221" spans="1:39" s="21" customFormat="1" ht="15" customHeight="1">
      <c r="A221" s="81">
        <f>MIN('BOGEN "ALLE"'!$AP$22:$AR$22)-A230</f>
        <v>17</v>
      </c>
      <c r="B221" s="138" t="str">
        <f>IF(AI213="GESCHOSS"," ",IF(AI213="GESCHOSS1"," ","SCHLAG"))</f>
        <v>SCHLAG</v>
      </c>
      <c r="C221" s="139"/>
      <c r="D221" s="139"/>
      <c r="E221" s="139" t="str">
        <f>IF(AC227=" "," ","WURF")</f>
        <v>WURF</v>
      </c>
      <c r="F221" s="139"/>
      <c r="G221" s="139"/>
      <c r="H221" s="139"/>
      <c r="I221" s="139" t="str">
        <f>IF(O217=0," ","BES.")</f>
        <v> </v>
      </c>
      <c r="J221" s="168"/>
      <c r="K221" s="532" t="str">
        <f>IF(K222=" "," ","MOD SPEZ.")</f>
        <v> </v>
      </c>
      <c r="L221" s="533"/>
      <c r="M221" s="533"/>
      <c r="N221" s="534"/>
      <c r="O221" s="532" t="str">
        <f>IF(AND(O222=" ",Q222=" ")," ","MOD.ST")</f>
        <v>MOD.ST</v>
      </c>
      <c r="P221" s="533"/>
      <c r="Q221" s="534"/>
      <c r="R221" s="532" t="str">
        <f>IF(R222=" "," ","MOD GE")</f>
        <v>MOD GE</v>
      </c>
      <c r="S221" s="533"/>
      <c r="T221" s="533"/>
      <c r="U221" s="534"/>
      <c r="V221" s="532" t="str">
        <f>IF(E217=0," ","MOD. WAFFE")</f>
        <v> </v>
      </c>
      <c r="W221" s="533"/>
      <c r="X221" s="533"/>
      <c r="Y221" s="533"/>
      <c r="Z221" s="534"/>
      <c r="AA221" s="532" t="str">
        <f>IF(O217=0," ","MOD WAFFE SPEZIELL")</f>
        <v> </v>
      </c>
      <c r="AB221" s="533"/>
      <c r="AC221" s="533"/>
      <c r="AD221" s="533"/>
      <c r="AE221" s="533"/>
      <c r="AF221" s="533"/>
      <c r="AG221" s="533"/>
      <c r="AH221" s="533"/>
      <c r="AI221" s="533"/>
      <c r="AJ221" s="533"/>
      <c r="AK221" s="533"/>
      <c r="AL221" s="533"/>
      <c r="AM221" s="534"/>
    </row>
    <row r="222" spans="2:39" s="21" customFormat="1" ht="15" customHeight="1">
      <c r="B222" s="142" t="str">
        <f>IF(AI213="GESCHOSS"," ",IF(AI213="Geschoss1"," ",IF(A219=1," ",A221-(IF(K222=" ",0,K222))-(IF(O222=" ",0,O222))-(IF(V222=" ",0,V222)))))</f>
        <v> </v>
      </c>
      <c r="C222" s="99"/>
      <c r="D222" s="128"/>
      <c r="E222" s="136" t="str">
        <f>IF(A219=1," ",IF(AC227=" "," ",IF(AI213="GESCHOSS1",A221-(IF(K222=" ",0,K222))-(IF(R222=" ",0,R222))-(IF(V222=" ","0",V222)),A221-(IF(K222=" ",0,K222))-(IF(O222=" ",0,O222))-(IF(R222=" ",0,R222))-(IF(V222=" ","0",V222)))))</f>
        <v> </v>
      </c>
      <c r="F222" s="99"/>
      <c r="G222" s="99"/>
      <c r="H222" s="128"/>
      <c r="I222" s="141" t="str">
        <f>IF(O217=0," ",IF(AI213="Geschoss1",A221-(IF(O222=" ",0,O222))-(IF(AA222=" ",0,AA222))-(IF(AND(AC227&lt;&gt;" ",R222&lt;&gt;" "),R222,0)),A221-(IF(K222=" ",0,K222))-(IF(O222=" ",0,O222))-(IF(AA222=" ",0,AA222))-(IF(AND(AC227&lt;&gt;" ",R222&lt;&gt;" "),R222,0))))</f>
        <v> </v>
      </c>
      <c r="J222" s="126"/>
      <c r="K222" s="515" t="str">
        <f>IF($AN$12&lt;-2," ",IF($C219=TRUE,"+1"," "))</f>
        <v> </v>
      </c>
      <c r="L222" s="537"/>
      <c r="M222" s="509" t="str">
        <f>IF($AN$12&lt;-2," ",IF($C219=TRUE,"+2"," "))</f>
        <v> </v>
      </c>
      <c r="N222" s="514"/>
      <c r="O222" s="167" t="str">
        <f>IF('BOGEN "ALLE"'!$G$26="NORMAL"," ",'BOGEN "ALLE"'!$G$26)</f>
        <v>+2</v>
      </c>
      <c r="P222" s="136"/>
      <c r="Q222" s="166" t="str">
        <f>IF('BOGEN "ALLE"'!$K$26="KEINE"," ",'BOGEN "ALLE"'!$K$26)</f>
        <v>+3</v>
      </c>
      <c r="R222" s="515" t="str">
        <f>IF('BOGEN "ALLE"'!$K$30="KEINE"," ",'BOGEN "ALLE"'!$K$30)</f>
        <v>+3</v>
      </c>
      <c r="S222" s="509"/>
      <c r="T222" s="509"/>
      <c r="U222" s="516"/>
      <c r="V222" s="515" t="str">
        <f>IF(E217=""," ",E217)</f>
        <v> </v>
      </c>
      <c r="W222" s="509"/>
      <c r="X222" s="509"/>
      <c r="Y222" s="509"/>
      <c r="Z222" s="516"/>
      <c r="AA222" s="526" t="str">
        <f>IF(O217=0," ",O217)</f>
        <v> </v>
      </c>
      <c r="AB222" s="500"/>
      <c r="AC222" s="527" t="str">
        <f>IF(O217=0," ","gg.")</f>
        <v> </v>
      </c>
      <c r="AD222" s="527"/>
      <c r="AE222" s="509" t="str">
        <f>IF(T217=0," ",T217)</f>
        <v> </v>
      </c>
      <c r="AF222" s="529"/>
      <c r="AG222" s="529"/>
      <c r="AH222" s="529"/>
      <c r="AI222" s="529"/>
      <c r="AJ222" s="529"/>
      <c r="AK222" s="529"/>
      <c r="AL222" s="529"/>
      <c r="AM222" s="530"/>
    </row>
    <row r="223" spans="2:39" s="21" customFormat="1" ht="4.5" customHeight="1">
      <c r="B223" s="149"/>
      <c r="C223" s="86"/>
      <c r="D223" s="139"/>
      <c r="E223" s="149"/>
      <c r="F223" s="86"/>
      <c r="G223" s="86"/>
      <c r="H223" s="139"/>
      <c r="I223" s="150"/>
      <c r="J223" s="86"/>
      <c r="K223" s="511"/>
      <c r="L223" s="511"/>
      <c r="M223" s="511">
        <f>IF(M222=" ",0,M222)</f>
        <v>0</v>
      </c>
      <c r="N223" s="511"/>
      <c r="O223" s="299"/>
      <c r="P223" s="300"/>
      <c r="Q223" s="298" t="str">
        <f>IF(Q222=" ",0,Q222)</f>
        <v>+3</v>
      </c>
      <c r="R223" s="299"/>
      <c r="S223" s="299"/>
      <c r="T223" s="299"/>
      <c r="U223" s="299"/>
      <c r="V223" s="511">
        <f>IF(V222=" ",0,V222)</f>
        <v>0</v>
      </c>
      <c r="W223" s="511"/>
      <c r="X223" s="511"/>
      <c r="Y223" s="511"/>
      <c r="Z223" s="511"/>
      <c r="AA223" s="519">
        <f>IF(AA222=" ",0,AA222)</f>
        <v>0</v>
      </c>
      <c r="AB223" s="519"/>
      <c r="AC223" s="301"/>
      <c r="AD223" s="151"/>
      <c r="AE223" s="152"/>
      <c r="AF223" s="153"/>
      <c r="AG223" s="153"/>
      <c r="AH223" s="153"/>
      <c r="AI223" s="153"/>
      <c r="AJ223" s="153"/>
      <c r="AK223" s="153"/>
      <c r="AL223" s="153"/>
      <c r="AM223" s="148"/>
    </row>
    <row r="224" spans="1:49" s="21" customFormat="1" ht="14.25" customHeight="1">
      <c r="A224" s="127" t="s">
        <v>235</v>
      </c>
      <c r="B224" s="131"/>
      <c r="C224" s="80"/>
      <c r="D224" s="146"/>
      <c r="E224" s="131"/>
      <c r="F224" s="80"/>
      <c r="G224" s="80"/>
      <c r="H224" s="146"/>
      <c r="I224" s="147"/>
      <c r="J224" s="80"/>
      <c r="K224" s="132"/>
      <c r="L224" s="132"/>
      <c r="M224" s="132"/>
      <c r="N224" s="132"/>
      <c r="O224" s="131"/>
      <c r="P224" s="131"/>
      <c r="Q224" s="131"/>
      <c r="R224" s="131"/>
      <c r="S224" s="131"/>
      <c r="T224" s="131"/>
      <c r="U224" s="131"/>
      <c r="V224" s="132"/>
      <c r="W224" s="132"/>
      <c r="X224" s="132"/>
      <c r="Y224" s="132"/>
      <c r="Z224" s="132"/>
      <c r="AA224" s="147"/>
      <c r="AB224" s="147"/>
      <c r="AC224" s="144"/>
      <c r="AD224" s="144"/>
      <c r="AE224" s="133"/>
      <c r="AF224" s="148"/>
      <c r="AG224" s="148"/>
      <c r="AH224" s="148"/>
      <c r="AI224" s="148"/>
      <c r="AJ224" s="148"/>
      <c r="AK224" s="148"/>
      <c r="AL224" s="148"/>
      <c r="AM224" s="148"/>
      <c r="AO224" s="146"/>
      <c r="AP224" s="146"/>
      <c r="AQ224" s="146"/>
      <c r="AR224" s="146"/>
      <c r="AS224" s="146"/>
      <c r="AT224" s="146"/>
      <c r="AU224" s="146"/>
      <c r="AV224" s="146"/>
      <c r="AW224" s="146"/>
    </row>
    <row r="225" spans="1:49" s="21" customFormat="1" ht="15" customHeight="1">
      <c r="A225" s="81" t="str">
        <f>IF(K227=" "," ",VLOOKUP($A219,Waffen!$B$4:$Q$209,6))</f>
        <v> </v>
      </c>
      <c r="B225" s="496" t="str">
        <f>IF(K227=" "," ","INITATIVE EINHÄNDIG")</f>
        <v> </v>
      </c>
      <c r="C225" s="497"/>
      <c r="D225" s="497"/>
      <c r="E225" s="497"/>
      <c r="F225" s="497"/>
      <c r="G225" s="497"/>
      <c r="H225" s="497"/>
      <c r="I225" s="497"/>
      <c r="J225" s="497"/>
      <c r="K225" s="170" t="str">
        <f>IF(K227=" "," ","SCHADEN K-M EINHÄNDIG")</f>
        <v> </v>
      </c>
      <c r="L225" s="136"/>
      <c r="M225" s="136"/>
      <c r="N225" s="136"/>
      <c r="O225" s="136"/>
      <c r="P225" s="136"/>
      <c r="Q225" s="136"/>
      <c r="R225" s="136"/>
      <c r="S225" s="136"/>
      <c r="T225" s="170" t="str">
        <f>IF(K227=" "," ","SCHADEN G EINHÄNDIG")</f>
        <v> </v>
      </c>
      <c r="U225" s="137"/>
      <c r="V225" s="137"/>
      <c r="W225" s="137"/>
      <c r="X225" s="137"/>
      <c r="Y225" s="137"/>
      <c r="Z225" s="137"/>
      <c r="AA225" s="136"/>
      <c r="AB225" s="136"/>
      <c r="AC225" s="158" t="str">
        <f>IF(AC227=" "," ","SCHUSSFOLGE und REICHWEITEN")</f>
        <v>SCHUSSFOLGE und REICHWEITEN</v>
      </c>
      <c r="AK225" s="148"/>
      <c r="AL225" s="148"/>
      <c r="AM225" s="148"/>
      <c r="AO225" s="146"/>
      <c r="AP225" s="80"/>
      <c r="AQ225" s="80"/>
      <c r="AR225" s="146"/>
      <c r="AS225" s="146"/>
      <c r="AT225" s="146"/>
      <c r="AU225" s="146"/>
      <c r="AV225" s="146"/>
      <c r="AW225" s="80"/>
    </row>
    <row r="226" spans="2:49" s="21" customFormat="1" ht="15" customHeight="1">
      <c r="B226" s="138" t="str">
        <f>IF(AI213="GESCHOSS"," ",IF(AI213="GESCHOSS1"," ",IF(K227=" "," ","SCHLAG")))</f>
        <v> </v>
      </c>
      <c r="C226" s="139"/>
      <c r="D226" s="139"/>
      <c r="E226" s="139" t="str">
        <f>IF(AC227=" "," ",IF(K227=" "," ","WURF"))</f>
        <v> </v>
      </c>
      <c r="F226" s="139"/>
      <c r="G226" s="139"/>
      <c r="H226" s="139" t="str">
        <f>IF(O217=0," ",IF(K227=" "," ","BES."))</f>
        <v> </v>
      </c>
      <c r="I226" s="86"/>
      <c r="J226" s="140"/>
      <c r="K226" s="498" t="str">
        <f>IF(K227=" "," ","BASIS")</f>
        <v> </v>
      </c>
      <c r="L226" s="345"/>
      <c r="M226" s="345"/>
      <c r="N226" s="499" t="str">
        <f>IF(K227=" "," ","NORMAL")</f>
        <v> </v>
      </c>
      <c r="O226" s="499"/>
      <c r="P226" s="499"/>
      <c r="Q226" s="139"/>
      <c r="R226" s="499" t="str">
        <f>IF(R227=" "," ","BES.")</f>
        <v> </v>
      </c>
      <c r="S226" s="346"/>
      <c r="T226" s="498" t="str">
        <f>IF(K227=" "," ","BASIS")</f>
        <v> </v>
      </c>
      <c r="U226" s="345"/>
      <c r="V226" s="345"/>
      <c r="W226" s="499" t="str">
        <f>IF(K227=" "," ","NORMAL")</f>
        <v> </v>
      </c>
      <c r="X226" s="499"/>
      <c r="Y226" s="499"/>
      <c r="Z226" s="139"/>
      <c r="AA226" s="499" t="str">
        <f>IF(AA227=" "," ","BES.")</f>
        <v> </v>
      </c>
      <c r="AB226" s="346"/>
      <c r="AC226" s="532" t="str">
        <f>IF(AC227=" "," ","SF")</f>
        <v>SF</v>
      </c>
      <c r="AD226" s="346"/>
      <c r="AF226" s="532" t="str">
        <f>IF(AF227=" "," ","K")</f>
        <v>K</v>
      </c>
      <c r="AG226" s="346"/>
      <c r="AI226" s="532" t="str">
        <f>IF(AI227=" "," ","M")</f>
        <v>M</v>
      </c>
      <c r="AJ226" s="346"/>
      <c r="AL226" s="532" t="str">
        <f>IF(AL227=" "," ","G")</f>
        <v>G</v>
      </c>
      <c r="AM226" s="346"/>
      <c r="AO226" s="61"/>
      <c r="AP226" s="145"/>
      <c r="AQ226" s="80"/>
      <c r="AR226" s="146"/>
      <c r="AS226" s="146"/>
      <c r="AT226" s="146"/>
      <c r="AU226" s="146"/>
      <c r="AV226" s="146"/>
      <c r="AW226" s="146"/>
    </row>
    <row r="227" spans="2:39" s="21" customFormat="1" ht="15" customHeight="1">
      <c r="B227" s="157" t="str">
        <f>IF(AI213="GESCHOSS"," ",IF(K227=" "," ",IF((A225-(IF(V222=" ",0,V222)))&lt;=0,0,A225-(IF(V222=" ",0,V222)))))</f>
        <v> </v>
      </c>
      <c r="C227" s="502" t="str">
        <f>IF(AI213&lt;&gt;"GESCHOSS",IF(K227=" "," ",(IF(R222=" "," ",R222-(2*R222))))," ")</f>
        <v> </v>
      </c>
      <c r="D227" s="538"/>
      <c r="E227" s="157" t="str">
        <f>IF(AC227=" "," ",IF(K227=" "," ",IF((A225-IF(V222=" ",0,V222))&lt;=0,0,A225-(IF(V222=" ",0,V222)))))</f>
        <v> </v>
      </c>
      <c r="F227" s="502" t="str">
        <f>IF(K227=" "," ",IF(AC227=" "," ",(IF(R222=" "," ",R222-(2*R222)))))</f>
        <v> </v>
      </c>
      <c r="G227" s="538"/>
      <c r="H227" s="156" t="str">
        <f>IF(O217=0," ",IF(K227=" "," ",IF((A225-(IF(AA222=" ",0,AA222)))&lt;=0,0,A225-(IF(AA222=" ",0,AA222)))))</f>
        <v> </v>
      </c>
      <c r="I227" s="502" t="str">
        <f>IF(O217=0," ",IF(K227=" "," ",(IF(R222=" "," ",R222-(2*R222)))))</f>
        <v> </v>
      </c>
      <c r="J227" s="503"/>
      <c r="K227" s="512" t="str">
        <f>IF(VLOOKUP(A219,Waffen!$B$4:$M$177,8)=0," ",VLOOKUP($A219,Waffen!$B$4:$Q$209,8))</f>
        <v> </v>
      </c>
      <c r="L227" s="513"/>
      <c r="M227" s="510"/>
      <c r="N227" s="509" t="str">
        <f>IF(K227=" "," ",IF(AI213="GESCHOSS1",0+V223,IF(AND(AI213="+1",$D219=TRUE),0+M223+Q223+V223,0+M223+Q223+V223)))</f>
        <v> </v>
      </c>
      <c r="O227" s="509"/>
      <c r="P227" s="509"/>
      <c r="Q227" s="129"/>
      <c r="R227" s="509" t="str">
        <f>IF(O217=0," ",IF(K227=" "," ",IF(AI213="Geschoss1",0+AA223,IF(AND(AI213="+1",$D219=TRUE),0+M223+Q223+AA223,0+M223+Q223+AA223))))</f>
        <v> </v>
      </c>
      <c r="S227" s="516"/>
      <c r="T227" s="504" t="str">
        <f>IF(VLOOKUP(A219,Waffen!$B$4:$M$177,9)=0," ",VLOOKUP($A219,Waffen!$B$4:$Q$209,9))</f>
        <v> </v>
      </c>
      <c r="U227" s="505"/>
      <c r="V227" s="351"/>
      <c r="W227" s="509" t="str">
        <f>IF(K227=" "," ",IF(AI213="GESCHOSS1",0+V223,IF(AND(AI213="+1",$D219=TRUE),0+M223+Q223+V223,0+M223+Q223+V223)))</f>
        <v> </v>
      </c>
      <c r="X227" s="509"/>
      <c r="Y227" s="510"/>
      <c r="Z227" s="129"/>
      <c r="AA227" s="509" t="str">
        <f>IF(O217=0," ",IF(K227=" "," ",IF(AI213="Geschoss1",0+AA223,IF(AND(AI213="+1",$D219=TRUE),0+M223+Q223+AA223,0+M223+Q223+AA223))))</f>
        <v> </v>
      </c>
      <c r="AB227" s="516"/>
      <c r="AC227" s="528" t="str">
        <f>IF(VLOOKUP($A219,Waffen!$B$4:$Q$200,13)=0," ",VLOOKUP($A219,Waffen!$B$4:$Q$200,13))</f>
        <v>---</v>
      </c>
      <c r="AD227" s="324"/>
      <c r="AF227" s="528" t="str">
        <f>IF(VLOOKUP($A219,Waffen!$B$4:$Q$200,14)=0," ",VLOOKUP($A219,Waffen!$B$4:$Q$200,14))</f>
        <v>---</v>
      </c>
      <c r="AG227" s="324"/>
      <c r="AI227" s="528" t="str">
        <f>IF(VLOOKUP($A219,Waffen!$B$4:$Q$200,15)=0," ",VLOOKUP($A219,Waffen!$B$4:$Q$200,15))</f>
        <v>---</v>
      </c>
      <c r="AJ227" s="324"/>
      <c r="AL227" s="528" t="str">
        <f>IF(VLOOKUP($A219,Waffen!$B$4:$Q$200,16)=0," ",VLOOKUP($A219,Waffen!$B$4:$Q$200,16))</f>
        <v>---</v>
      </c>
      <c r="AM227" s="324"/>
    </row>
    <row r="228" spans="1:28" s="21" customFormat="1" ht="15" customHeight="1">
      <c r="A228" s="81" t="str">
        <f>IF(Waffenbogen!K230=" "," ",IF(AI213="GESCHOSS",VLOOKUP($A219,Waffen!$B$4:$Q$209,7),IF(AI213="GESCHOSS1",VLOOKUP($A219,Waffen!$B$4:$Q$209,7),IF(AND(AI213="JA",D219=TRUE,$AN$12=-2),VLOOKUP($A219,Waffen!$B$4:$Q$209,7)-3,VLOOKUP($A219,Waffen!$B$4:$Q$209,7)))))</f>
        <v> </v>
      </c>
      <c r="B228" s="520" t="str">
        <f>IF(K230=" "," ","INITATIVE BEIHÄNDIG")</f>
        <v> </v>
      </c>
      <c r="C228" s="521"/>
      <c r="D228" s="521"/>
      <c r="E228" s="521"/>
      <c r="F228" s="521"/>
      <c r="G228" s="521"/>
      <c r="H228" s="521"/>
      <c r="I228" s="521"/>
      <c r="J228" s="521"/>
      <c r="K228" s="169" t="str">
        <f>IF(K230=" "," ","SCHADEN K-M BEIDHÄNDIG")</f>
        <v> </v>
      </c>
      <c r="L228" s="132"/>
      <c r="M228" s="132"/>
      <c r="N228" s="147"/>
      <c r="O228" s="147"/>
      <c r="P228" s="144"/>
      <c r="Q228" s="144"/>
      <c r="R228" s="133"/>
      <c r="S228" s="148"/>
      <c r="T228" s="169" t="str">
        <f>IF(T230=" "," ","SCHADEN G BEIDHÄNDIG")</f>
        <v> </v>
      </c>
      <c r="U228" s="132"/>
      <c r="V228" s="132"/>
      <c r="W228" s="147"/>
      <c r="X228" s="147"/>
      <c r="Y228" s="144"/>
      <c r="Z228" s="144"/>
      <c r="AA228" s="133"/>
      <c r="AB228" s="148"/>
    </row>
    <row r="229" spans="2:28" s="21" customFormat="1" ht="14.25" customHeight="1">
      <c r="B229" s="138" t="str">
        <f>IF(K230=" "," ",IF(AI213="GESCHOSS"," ",IF(AI213="GESCHOSS1"," ","SCHLAG")))</f>
        <v> </v>
      </c>
      <c r="C229" s="139"/>
      <c r="D229" s="139"/>
      <c r="E229" s="139" t="str">
        <f>IF(K230=" "," ",IF(AC227=" "," ","WURF"))</f>
        <v> </v>
      </c>
      <c r="F229" s="139"/>
      <c r="G229" s="139"/>
      <c r="H229" s="139" t="str">
        <f>IF(K230=" "," ",IF(O217=0," ","BES."))</f>
        <v> </v>
      </c>
      <c r="J229" s="87"/>
      <c r="K229" s="498" t="str">
        <f>IF(K230=" "," ","BASIS")</f>
        <v> </v>
      </c>
      <c r="L229" s="345"/>
      <c r="M229" s="345"/>
      <c r="N229" s="499" t="str">
        <f>IF(K230=" "," ","NORMAL")</f>
        <v> </v>
      </c>
      <c r="O229" s="499"/>
      <c r="P229" s="499"/>
      <c r="Q229" s="139"/>
      <c r="R229" s="499" t="str">
        <f>IF(R230=" "," ","BES.")</f>
        <v> </v>
      </c>
      <c r="S229" s="346"/>
      <c r="T229" s="498" t="str">
        <f>IF(K230=" "," ","BASIS")</f>
        <v> </v>
      </c>
      <c r="U229" s="345"/>
      <c r="V229" s="345"/>
      <c r="W229" s="499" t="str">
        <f>IF(K230=" "," ","NORMAL")</f>
        <v> </v>
      </c>
      <c r="X229" s="499"/>
      <c r="Y229" s="499"/>
      <c r="Z229" s="139"/>
      <c r="AA229" s="499" t="str">
        <f>IF(AA230=" "," ","BES.")</f>
        <v> </v>
      </c>
      <c r="AB229" s="346"/>
    </row>
    <row r="230" spans="1:39" s="130" customFormat="1" ht="12.75">
      <c r="A230" s="155">
        <f>IF($B219=TRUE,0,$AN$12)</f>
        <v>-2</v>
      </c>
      <c r="B230" s="157" t="str">
        <f>IF(B229=" "," ",IF((A228-(IF(V222=" ",0,(IF(V222=" ",0,V222)))))&lt;=0,0,A228-(IF(V222=" ",0,V222))))</f>
        <v> </v>
      </c>
      <c r="C230" s="502" t="str">
        <f>IF(AI213="GESCHOSS"," ",IF(AI213="GESCHOSS1"," ",IF(K230=" "," ",(IF(R222=" "," ",R222-(2*R222))))))</f>
        <v> </v>
      </c>
      <c r="D230" s="503"/>
      <c r="E230" s="157" t="str">
        <f>IF(AND(K230&lt;&gt;" ",AC227&lt;&gt;" "),IF((A228-(IF(V222=" ",0,V222)))&lt;=0,0,A228-(IF(V222=" ",0,V222)))," ")</f>
        <v> </v>
      </c>
      <c r="F230" s="502" t="str">
        <f>IF(K230=" "," ",IF(AC227=" "," ",(IF(R222=" "," ",R222-(2*R222)))))</f>
        <v> </v>
      </c>
      <c r="G230" s="503"/>
      <c r="H230" s="157" t="str">
        <f>IF(O217=0," ",IF(K230=" "," ",IF((A228-(IF(V222=" ",0,V222)))&lt;=0,0,A228-(IF(V222=" ",0,V222)))))</f>
        <v> </v>
      </c>
      <c r="I230" s="506" t="str">
        <f>IF(K230=" "," ",IF(AND(O217=0,R222=" ")," ",(IF(R222=" "," ",R222-(2*R222)))))</f>
        <v> </v>
      </c>
      <c r="J230" s="507"/>
      <c r="K230" s="504" t="str">
        <f>IF(IF(VLOOKUP(A219,Waffen!$B$4:$M$177,10)=0,0,VLOOKUP($A219,Waffen!$B$4:$Q$209,10))=0," ",VLOOKUP($A219,Waffen!$B$4:$Q$209,10))</f>
        <v> </v>
      </c>
      <c r="L230" s="505"/>
      <c r="M230" s="351"/>
      <c r="N230" s="500" t="str">
        <f>IF(K230=" "," ",IF(AI213="GESCHOSS1",0+V223,IF(AND(AI213="+1",$D219=TRUE),0+M223+Q223+V223+1,0+M223+Q223+V223)))</f>
        <v> </v>
      </c>
      <c r="O230" s="500"/>
      <c r="P230" s="501"/>
      <c r="Q230" s="129"/>
      <c r="R230" s="500" t="str">
        <f>IF(K230=" "," ",IF(AI213="GESCHOSS1",0+AA223,IF(AND(AI213="+1",$D219=TRUE),0+M223+Q223+AA223+1,0+M223+Q223+AA223)))</f>
        <v> </v>
      </c>
      <c r="S230" s="508"/>
      <c r="T230" s="504" t="str">
        <f>IF(IF(AI213="NEIN",0,VLOOKUP($A219,Waffen!$B$4:$Q$209,11))=0," ",VLOOKUP($A219,Waffen!$B$4:$Q$209,11))</f>
        <v> </v>
      </c>
      <c r="U230" s="505"/>
      <c r="V230" s="351"/>
      <c r="W230" s="500" t="str">
        <f>IF(K230=" "," ",IF(AI213="GESCHOSS1",0+V223,IF(AND(AI213="+1",$D219=TRUE),0+M223+Q223+V223+1,0+M223+Q223+V223)))</f>
        <v> </v>
      </c>
      <c r="X230" s="500"/>
      <c r="Y230" s="501"/>
      <c r="Z230" s="129"/>
      <c r="AA230" s="500" t="str">
        <f>IF(K230=" "," ",IF(AI213="GESCHOSS1",0+AA223,IF(AND(AI213="+1",$D219=TRUE),0+M223+Q223+AA223+1,0+M223+Q223+AA223)))</f>
        <v> </v>
      </c>
      <c r="AB230" s="508"/>
      <c r="AE230" s="531"/>
      <c r="AF230" s="531"/>
      <c r="AG230" s="531"/>
      <c r="AH230" s="531"/>
      <c r="AK230" s="79"/>
      <c r="AL230" s="79"/>
      <c r="AM230" s="79"/>
    </row>
    <row r="231" s="130" customFormat="1" ht="10.5"/>
    <row r="232" spans="1:39" ht="14.25" customHeight="1">
      <c r="A232" s="65"/>
      <c r="B232" s="154"/>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row>
  </sheetData>
  <mergeCells count="719">
    <mergeCell ref="AC25:AM25"/>
    <mergeCell ref="T25:AB25"/>
    <mergeCell ref="T28:AB28"/>
    <mergeCell ref="K28:S28"/>
    <mergeCell ref="K25:S25"/>
    <mergeCell ref="R26:S26"/>
    <mergeCell ref="K26:M26"/>
    <mergeCell ref="T26:V26"/>
    <mergeCell ref="W26:Y26"/>
    <mergeCell ref="AA26:AB26"/>
    <mergeCell ref="AE230:AH230"/>
    <mergeCell ref="O221:Q221"/>
    <mergeCell ref="R221:U221"/>
    <mergeCell ref="V221:Z221"/>
    <mergeCell ref="AA221:AM221"/>
    <mergeCell ref="W229:Y229"/>
    <mergeCell ref="AA229:AB229"/>
    <mergeCell ref="AA222:AB222"/>
    <mergeCell ref="N227:P227"/>
    <mergeCell ref="K221:N221"/>
    <mergeCell ref="C230:D230"/>
    <mergeCell ref="F230:G230"/>
    <mergeCell ref="I230:J230"/>
    <mergeCell ref="R222:U222"/>
    <mergeCell ref="K230:M230"/>
    <mergeCell ref="N230:P230"/>
    <mergeCell ref="R230:S230"/>
    <mergeCell ref="B228:J228"/>
    <mergeCell ref="K226:M226"/>
    <mergeCell ref="N226:P226"/>
    <mergeCell ref="O201:Q201"/>
    <mergeCell ref="A213:V213"/>
    <mergeCell ref="B215:Q215"/>
    <mergeCell ref="Z215:AA215"/>
    <mergeCell ref="K201:N201"/>
    <mergeCell ref="K202:L202"/>
    <mergeCell ref="M202:N202"/>
    <mergeCell ref="B208:J208"/>
    <mergeCell ref="R201:U201"/>
    <mergeCell ref="V201:Z201"/>
    <mergeCell ref="K161:N161"/>
    <mergeCell ref="R189:S189"/>
    <mergeCell ref="T189:V189"/>
    <mergeCell ref="W189:Y189"/>
    <mergeCell ref="T186:V186"/>
    <mergeCell ref="R186:S186"/>
    <mergeCell ref="T177:AN177"/>
    <mergeCell ref="AF167:AG167"/>
    <mergeCell ref="AC166:AD166"/>
    <mergeCell ref="R181:U181"/>
    <mergeCell ref="Z155:AA155"/>
    <mergeCell ref="O161:Q161"/>
    <mergeCell ref="W166:Y166"/>
    <mergeCell ref="T166:V166"/>
    <mergeCell ref="V161:Z161"/>
    <mergeCell ref="R161:U161"/>
    <mergeCell ref="R162:U162"/>
    <mergeCell ref="AA163:AB163"/>
    <mergeCell ref="AA166:AB166"/>
    <mergeCell ref="A133:V133"/>
    <mergeCell ref="AA149:AB149"/>
    <mergeCell ref="I150:J150"/>
    <mergeCell ref="K150:M150"/>
    <mergeCell ref="N150:P150"/>
    <mergeCell ref="R150:S150"/>
    <mergeCell ref="T150:V150"/>
    <mergeCell ref="W150:Y150"/>
    <mergeCell ref="AA150:AB150"/>
    <mergeCell ref="W149:Y149"/>
    <mergeCell ref="T97:AN97"/>
    <mergeCell ref="V121:Z121"/>
    <mergeCell ref="B125:J125"/>
    <mergeCell ref="K122:L122"/>
    <mergeCell ref="M122:N122"/>
    <mergeCell ref="K123:L123"/>
    <mergeCell ref="M123:N123"/>
    <mergeCell ref="T90:V90"/>
    <mergeCell ref="E97:F97"/>
    <mergeCell ref="K121:N121"/>
    <mergeCell ref="O121:Q121"/>
    <mergeCell ref="R121:U121"/>
    <mergeCell ref="N110:P110"/>
    <mergeCell ref="T110:V110"/>
    <mergeCell ref="K110:M110"/>
    <mergeCell ref="R110:S110"/>
    <mergeCell ref="O97:P97"/>
    <mergeCell ref="AA89:AB89"/>
    <mergeCell ref="C90:D90"/>
    <mergeCell ref="F90:G90"/>
    <mergeCell ref="I90:J90"/>
    <mergeCell ref="W90:Y90"/>
    <mergeCell ref="K89:M89"/>
    <mergeCell ref="N89:P89"/>
    <mergeCell ref="R89:S89"/>
    <mergeCell ref="T89:V89"/>
    <mergeCell ref="K90:M90"/>
    <mergeCell ref="R61:U61"/>
    <mergeCell ref="V61:Z61"/>
    <mergeCell ref="A53:V53"/>
    <mergeCell ref="AE70:AH70"/>
    <mergeCell ref="E57:F57"/>
    <mergeCell ref="O57:P57"/>
    <mergeCell ref="T57:AN57"/>
    <mergeCell ref="B55:Q55"/>
    <mergeCell ref="Z55:AA55"/>
    <mergeCell ref="AG55:AH55"/>
    <mergeCell ref="B25:J25"/>
    <mergeCell ref="W30:Y30"/>
    <mergeCell ref="N26:P26"/>
    <mergeCell ref="AA61:AM61"/>
    <mergeCell ref="K50:M50"/>
    <mergeCell ref="N50:P50"/>
    <mergeCell ref="R50:S50"/>
    <mergeCell ref="T50:V50"/>
    <mergeCell ref="K61:N61"/>
    <mergeCell ref="O61:Q61"/>
    <mergeCell ref="AG15:AH15"/>
    <mergeCell ref="B15:Q15"/>
    <mergeCell ref="T17:AN17"/>
    <mergeCell ref="K22:L22"/>
    <mergeCell ref="M22:N22"/>
    <mergeCell ref="AE22:AM22"/>
    <mergeCell ref="R22:U22"/>
    <mergeCell ref="V22:Z22"/>
    <mergeCell ref="AA22:AB22"/>
    <mergeCell ref="AC22:AD22"/>
    <mergeCell ref="I27:J27"/>
    <mergeCell ref="R27:S27"/>
    <mergeCell ref="K27:M27"/>
    <mergeCell ref="N27:P27"/>
    <mergeCell ref="T27:V27"/>
    <mergeCell ref="W27:Y27"/>
    <mergeCell ref="AA27:AB27"/>
    <mergeCell ref="N29:P29"/>
    <mergeCell ref="R29:S29"/>
    <mergeCell ref="T29:V29"/>
    <mergeCell ref="W29:Y29"/>
    <mergeCell ref="AA29:AB29"/>
    <mergeCell ref="B48:J48"/>
    <mergeCell ref="W49:Y49"/>
    <mergeCell ref="AA30:AB30"/>
    <mergeCell ref="C27:D27"/>
    <mergeCell ref="F27:G27"/>
    <mergeCell ref="B28:J28"/>
    <mergeCell ref="K29:M29"/>
    <mergeCell ref="K30:M30"/>
    <mergeCell ref="A33:V33"/>
    <mergeCell ref="N30:P30"/>
    <mergeCell ref="A13:V13"/>
    <mergeCell ref="K21:N21"/>
    <mergeCell ref="O21:Q21"/>
    <mergeCell ref="R21:U21"/>
    <mergeCell ref="V21:Z21"/>
    <mergeCell ref="Z15:AA15"/>
    <mergeCell ref="O17:P17"/>
    <mergeCell ref="E17:F17"/>
    <mergeCell ref="AA21:AM21"/>
    <mergeCell ref="AI13:AN13"/>
    <mergeCell ref="R30:S30"/>
    <mergeCell ref="C30:D30"/>
    <mergeCell ref="F30:G30"/>
    <mergeCell ref="I30:J30"/>
    <mergeCell ref="T30:V30"/>
    <mergeCell ref="AE42:AM42"/>
    <mergeCell ref="E37:F37"/>
    <mergeCell ref="O37:P37"/>
    <mergeCell ref="T37:AN37"/>
    <mergeCell ref="K41:N41"/>
    <mergeCell ref="O41:Q41"/>
    <mergeCell ref="K42:L42"/>
    <mergeCell ref="M42:N42"/>
    <mergeCell ref="AG35:AH35"/>
    <mergeCell ref="M43:N43"/>
    <mergeCell ref="R42:U42"/>
    <mergeCell ref="V42:Z42"/>
    <mergeCell ref="B35:Q35"/>
    <mergeCell ref="Z35:AA35"/>
    <mergeCell ref="R41:U41"/>
    <mergeCell ref="V41:Z41"/>
    <mergeCell ref="AA41:AM41"/>
    <mergeCell ref="AA42:AB42"/>
    <mergeCell ref="AC42:AD42"/>
    <mergeCell ref="AI46:AJ46"/>
    <mergeCell ref="C47:D47"/>
    <mergeCell ref="F47:G47"/>
    <mergeCell ref="AC46:AD46"/>
    <mergeCell ref="AA47:AB47"/>
    <mergeCell ref="W47:Y47"/>
    <mergeCell ref="AF47:AG47"/>
    <mergeCell ref="AA49:AB49"/>
    <mergeCell ref="C50:D50"/>
    <mergeCell ref="F50:G50"/>
    <mergeCell ref="I50:J50"/>
    <mergeCell ref="AA50:AB50"/>
    <mergeCell ref="W50:Y50"/>
    <mergeCell ref="K49:M49"/>
    <mergeCell ref="N49:P49"/>
    <mergeCell ref="R49:S49"/>
    <mergeCell ref="T49:V49"/>
    <mergeCell ref="AL46:AM46"/>
    <mergeCell ref="I47:J47"/>
    <mergeCell ref="K47:M47"/>
    <mergeCell ref="N47:P47"/>
    <mergeCell ref="R47:S47"/>
    <mergeCell ref="T47:V47"/>
    <mergeCell ref="AC47:AD47"/>
    <mergeCell ref="AI47:AJ47"/>
    <mergeCell ref="AL47:AM47"/>
    <mergeCell ref="AF46:AG46"/>
    <mergeCell ref="K62:L62"/>
    <mergeCell ref="M62:N62"/>
    <mergeCell ref="R62:U62"/>
    <mergeCell ref="K63:L63"/>
    <mergeCell ref="M63:N63"/>
    <mergeCell ref="AC62:AD62"/>
    <mergeCell ref="T67:V67"/>
    <mergeCell ref="W67:Y67"/>
    <mergeCell ref="AA67:AB67"/>
    <mergeCell ref="V62:Z62"/>
    <mergeCell ref="AC66:AD66"/>
    <mergeCell ref="V63:Z63"/>
    <mergeCell ref="AA63:AB63"/>
    <mergeCell ref="T66:V66"/>
    <mergeCell ref="W66:Y66"/>
    <mergeCell ref="AA69:AB69"/>
    <mergeCell ref="C67:D67"/>
    <mergeCell ref="F67:G67"/>
    <mergeCell ref="B68:J68"/>
    <mergeCell ref="I67:J67"/>
    <mergeCell ref="K67:M67"/>
    <mergeCell ref="N67:P67"/>
    <mergeCell ref="R67:S67"/>
    <mergeCell ref="N69:P69"/>
    <mergeCell ref="B85:J85"/>
    <mergeCell ref="V82:Z82"/>
    <mergeCell ref="W70:Y70"/>
    <mergeCell ref="R69:S69"/>
    <mergeCell ref="T69:V69"/>
    <mergeCell ref="W69:Y69"/>
    <mergeCell ref="T70:V70"/>
    <mergeCell ref="K70:M70"/>
    <mergeCell ref="N70:P70"/>
    <mergeCell ref="R70:S70"/>
    <mergeCell ref="AA82:AB82"/>
    <mergeCell ref="R82:U82"/>
    <mergeCell ref="B75:Q75"/>
    <mergeCell ref="Z75:AA75"/>
    <mergeCell ref="K81:N81"/>
    <mergeCell ref="O81:Q81"/>
    <mergeCell ref="R81:U81"/>
    <mergeCell ref="V81:Z81"/>
    <mergeCell ref="C70:D70"/>
    <mergeCell ref="F70:G70"/>
    <mergeCell ref="I70:J70"/>
    <mergeCell ref="AA81:AM81"/>
    <mergeCell ref="AG75:AH75"/>
    <mergeCell ref="AA70:AB70"/>
    <mergeCell ref="AA90:AB90"/>
    <mergeCell ref="A73:V73"/>
    <mergeCell ref="E77:F77"/>
    <mergeCell ref="O77:P77"/>
    <mergeCell ref="T77:AN77"/>
    <mergeCell ref="C87:D87"/>
    <mergeCell ref="F87:G87"/>
    <mergeCell ref="I87:J87"/>
    <mergeCell ref="K87:M87"/>
    <mergeCell ref="N87:P87"/>
    <mergeCell ref="AL67:AM67"/>
    <mergeCell ref="AF86:AG86"/>
    <mergeCell ref="W86:Y86"/>
    <mergeCell ref="K86:M86"/>
    <mergeCell ref="AA86:AB86"/>
    <mergeCell ref="AA83:AB83"/>
    <mergeCell ref="K82:L82"/>
    <mergeCell ref="M82:N82"/>
    <mergeCell ref="AC82:AD82"/>
    <mergeCell ref="K69:M69"/>
    <mergeCell ref="R87:S87"/>
    <mergeCell ref="T87:V87"/>
    <mergeCell ref="W87:Y87"/>
    <mergeCell ref="N86:P86"/>
    <mergeCell ref="AL66:AM66"/>
    <mergeCell ref="M103:N103"/>
    <mergeCell ref="AA102:AB102"/>
    <mergeCell ref="AC102:AD102"/>
    <mergeCell ref="AE102:AM102"/>
    <mergeCell ref="AI87:AJ87"/>
    <mergeCell ref="AL87:AM87"/>
    <mergeCell ref="AA87:AB87"/>
    <mergeCell ref="AF67:AG67"/>
    <mergeCell ref="AI67:AJ67"/>
    <mergeCell ref="N107:P107"/>
    <mergeCell ref="R107:S107"/>
    <mergeCell ref="T107:V107"/>
    <mergeCell ref="K102:L102"/>
    <mergeCell ref="M102:N102"/>
    <mergeCell ref="R102:U102"/>
    <mergeCell ref="V102:Z102"/>
    <mergeCell ref="V103:Z103"/>
    <mergeCell ref="T106:V106"/>
    <mergeCell ref="W106:Y106"/>
    <mergeCell ref="C107:D107"/>
    <mergeCell ref="F107:G107"/>
    <mergeCell ref="I107:J107"/>
    <mergeCell ref="K107:M107"/>
    <mergeCell ref="W109:Y109"/>
    <mergeCell ref="AA110:AB110"/>
    <mergeCell ref="W110:Y110"/>
    <mergeCell ref="W107:Y107"/>
    <mergeCell ref="R109:S109"/>
    <mergeCell ref="T109:V109"/>
    <mergeCell ref="C110:D110"/>
    <mergeCell ref="F110:G110"/>
    <mergeCell ref="I110:J110"/>
    <mergeCell ref="W126:Y126"/>
    <mergeCell ref="AA122:AB122"/>
    <mergeCell ref="R122:U122"/>
    <mergeCell ref="V123:Z123"/>
    <mergeCell ref="AA123:AB123"/>
    <mergeCell ref="R126:S126"/>
    <mergeCell ref="AA126:AB126"/>
    <mergeCell ref="W127:Y127"/>
    <mergeCell ref="C127:D127"/>
    <mergeCell ref="F127:G127"/>
    <mergeCell ref="I127:J127"/>
    <mergeCell ref="K127:M127"/>
    <mergeCell ref="R129:S129"/>
    <mergeCell ref="N127:P127"/>
    <mergeCell ref="R127:S127"/>
    <mergeCell ref="T127:V127"/>
    <mergeCell ref="T130:V130"/>
    <mergeCell ref="W129:Y129"/>
    <mergeCell ref="AA129:AB129"/>
    <mergeCell ref="T129:V129"/>
    <mergeCell ref="AE142:AM142"/>
    <mergeCell ref="K142:L142"/>
    <mergeCell ref="M142:N142"/>
    <mergeCell ref="W130:Y130"/>
    <mergeCell ref="R130:S130"/>
    <mergeCell ref="AA130:AB130"/>
    <mergeCell ref="K141:N141"/>
    <mergeCell ref="O141:Q141"/>
    <mergeCell ref="R141:U141"/>
    <mergeCell ref="V141:Z141"/>
    <mergeCell ref="Z135:AA135"/>
    <mergeCell ref="AG135:AH135"/>
    <mergeCell ref="E137:F137"/>
    <mergeCell ref="O137:P137"/>
    <mergeCell ref="T137:AN137"/>
    <mergeCell ref="E157:F157"/>
    <mergeCell ref="R142:U142"/>
    <mergeCell ref="V142:Z142"/>
    <mergeCell ref="T147:V147"/>
    <mergeCell ref="B148:J148"/>
    <mergeCell ref="C147:D147"/>
    <mergeCell ref="F147:G147"/>
    <mergeCell ref="I147:J147"/>
    <mergeCell ref="K147:M147"/>
    <mergeCell ref="R147:S147"/>
    <mergeCell ref="V181:Z181"/>
    <mergeCell ref="AC167:AD167"/>
    <mergeCell ref="W169:Y169"/>
    <mergeCell ref="AA169:AB169"/>
    <mergeCell ref="AA167:AB167"/>
    <mergeCell ref="T167:V167"/>
    <mergeCell ref="T169:V169"/>
    <mergeCell ref="AA170:AB170"/>
    <mergeCell ref="F187:G187"/>
    <mergeCell ref="B188:J188"/>
    <mergeCell ref="K189:M189"/>
    <mergeCell ref="C190:D190"/>
    <mergeCell ref="I190:J190"/>
    <mergeCell ref="K190:M190"/>
    <mergeCell ref="K187:M187"/>
    <mergeCell ref="I187:J187"/>
    <mergeCell ref="C187:D187"/>
    <mergeCell ref="R190:S190"/>
    <mergeCell ref="W190:Y190"/>
    <mergeCell ref="AA190:AB190"/>
    <mergeCell ref="N187:P187"/>
    <mergeCell ref="R187:S187"/>
    <mergeCell ref="T187:V187"/>
    <mergeCell ref="W187:Y187"/>
    <mergeCell ref="N189:P189"/>
    <mergeCell ref="AA189:AB189"/>
    <mergeCell ref="AA187:AB187"/>
    <mergeCell ref="E197:F197"/>
    <mergeCell ref="O197:P197"/>
    <mergeCell ref="T197:AN197"/>
    <mergeCell ref="T190:V190"/>
    <mergeCell ref="A193:V193"/>
    <mergeCell ref="B195:Q195"/>
    <mergeCell ref="Z195:AA195"/>
    <mergeCell ref="AG195:AH195"/>
    <mergeCell ref="F190:G190"/>
    <mergeCell ref="N190:P190"/>
    <mergeCell ref="K203:L203"/>
    <mergeCell ref="M203:N203"/>
    <mergeCell ref="AC206:AD206"/>
    <mergeCell ref="AA203:AB203"/>
    <mergeCell ref="AA206:AB206"/>
    <mergeCell ref="R206:S206"/>
    <mergeCell ref="AF206:AG206"/>
    <mergeCell ref="AC207:AD207"/>
    <mergeCell ref="C207:D207"/>
    <mergeCell ref="F207:G207"/>
    <mergeCell ref="I207:J207"/>
    <mergeCell ref="K207:M207"/>
    <mergeCell ref="N207:P207"/>
    <mergeCell ref="R207:S207"/>
    <mergeCell ref="T207:V207"/>
    <mergeCell ref="W207:Y207"/>
    <mergeCell ref="AE210:AH210"/>
    <mergeCell ref="AA209:AB209"/>
    <mergeCell ref="AA207:AB207"/>
    <mergeCell ref="AA210:AB210"/>
    <mergeCell ref="R210:S210"/>
    <mergeCell ref="C210:D210"/>
    <mergeCell ref="F210:G210"/>
    <mergeCell ref="I210:J210"/>
    <mergeCell ref="K210:M210"/>
    <mergeCell ref="V222:Z222"/>
    <mergeCell ref="K223:L223"/>
    <mergeCell ref="AE222:AM222"/>
    <mergeCell ref="K227:M227"/>
    <mergeCell ref="K222:L222"/>
    <mergeCell ref="AA226:AB226"/>
    <mergeCell ref="M223:N223"/>
    <mergeCell ref="V223:Z223"/>
    <mergeCell ref="AA223:AB223"/>
    <mergeCell ref="M222:N222"/>
    <mergeCell ref="AG215:AH215"/>
    <mergeCell ref="E217:F217"/>
    <mergeCell ref="O217:P217"/>
    <mergeCell ref="T217:AN217"/>
    <mergeCell ref="AA230:AB230"/>
    <mergeCell ref="AA227:AB227"/>
    <mergeCell ref="T226:V226"/>
    <mergeCell ref="W227:Y227"/>
    <mergeCell ref="T230:V230"/>
    <mergeCell ref="T229:V229"/>
    <mergeCell ref="W230:Y230"/>
    <mergeCell ref="W226:Y226"/>
    <mergeCell ref="T227:V227"/>
    <mergeCell ref="R226:S226"/>
    <mergeCell ref="R227:S227"/>
    <mergeCell ref="F227:G227"/>
    <mergeCell ref="I227:J227"/>
    <mergeCell ref="C227:D227"/>
    <mergeCell ref="K229:M229"/>
    <mergeCell ref="N229:P229"/>
    <mergeCell ref="R229:S229"/>
    <mergeCell ref="W209:Y209"/>
    <mergeCell ref="W210:Y210"/>
    <mergeCell ref="V202:Z202"/>
    <mergeCell ref="T209:V209"/>
    <mergeCell ref="V203:Z203"/>
    <mergeCell ref="T206:V206"/>
    <mergeCell ref="W206:Y206"/>
    <mergeCell ref="R202:U202"/>
    <mergeCell ref="T210:V210"/>
    <mergeCell ref="R209:S209"/>
    <mergeCell ref="AC146:AD146"/>
    <mergeCell ref="AF26:AG26"/>
    <mergeCell ref="AF107:AG107"/>
    <mergeCell ref="AF127:AG127"/>
    <mergeCell ref="AC67:AD67"/>
    <mergeCell ref="AC86:AD86"/>
    <mergeCell ref="AC106:AD106"/>
    <mergeCell ref="AC142:AD142"/>
    <mergeCell ref="AF106:AG106"/>
    <mergeCell ref="AC122:AD122"/>
    <mergeCell ref="AI26:AJ26"/>
    <mergeCell ref="AL26:AM26"/>
    <mergeCell ref="AC27:AD27"/>
    <mergeCell ref="AF27:AG27"/>
    <mergeCell ref="AI27:AJ27"/>
    <mergeCell ref="AL27:AM27"/>
    <mergeCell ref="AC26:AD26"/>
    <mergeCell ref="AC87:AD87"/>
    <mergeCell ref="AF87:AG87"/>
    <mergeCell ref="AI107:AJ107"/>
    <mergeCell ref="AL107:AM107"/>
    <mergeCell ref="AI106:AJ106"/>
    <mergeCell ref="AL106:AM106"/>
    <mergeCell ref="AE90:AH90"/>
    <mergeCell ref="AA101:AM101"/>
    <mergeCell ref="Z95:AA95"/>
    <mergeCell ref="AG95:AH95"/>
    <mergeCell ref="AF126:AG126"/>
    <mergeCell ref="AI126:AJ126"/>
    <mergeCell ref="AL126:AM126"/>
    <mergeCell ref="AG115:AH115"/>
    <mergeCell ref="T117:AN117"/>
    <mergeCell ref="Z115:AA115"/>
    <mergeCell ref="AC126:AD126"/>
    <mergeCell ref="T126:V126"/>
    <mergeCell ref="AE122:AM122"/>
    <mergeCell ref="V122:Z122"/>
    <mergeCell ref="AE110:AH110"/>
    <mergeCell ref="AA121:AM121"/>
    <mergeCell ref="AA107:AB107"/>
    <mergeCell ref="AC107:AD107"/>
    <mergeCell ref="AA109:AB109"/>
    <mergeCell ref="AI127:AJ127"/>
    <mergeCell ref="AL127:AM127"/>
    <mergeCell ref="AF146:AG146"/>
    <mergeCell ref="AI146:AJ146"/>
    <mergeCell ref="AL146:AM146"/>
    <mergeCell ref="AE130:AH130"/>
    <mergeCell ref="AA141:AM141"/>
    <mergeCell ref="AA127:AB127"/>
    <mergeCell ref="AC127:AD127"/>
    <mergeCell ref="AA142:AB142"/>
    <mergeCell ref="AI166:AJ166"/>
    <mergeCell ref="AL166:AM166"/>
    <mergeCell ref="AE150:AH150"/>
    <mergeCell ref="AF166:AG166"/>
    <mergeCell ref="AA161:AM161"/>
    <mergeCell ref="AA162:AB162"/>
    <mergeCell ref="AC162:AD162"/>
    <mergeCell ref="AE162:AM162"/>
    <mergeCell ref="T157:AN157"/>
    <mergeCell ref="AG155:AH155"/>
    <mergeCell ref="AC186:AD186"/>
    <mergeCell ref="AF186:AG186"/>
    <mergeCell ref="AE182:AM182"/>
    <mergeCell ref="AG175:AH175"/>
    <mergeCell ref="AA181:AM181"/>
    <mergeCell ref="AA182:AB182"/>
    <mergeCell ref="AC182:AD182"/>
    <mergeCell ref="AA186:AB186"/>
    <mergeCell ref="Z175:AA175"/>
    <mergeCell ref="V182:Z182"/>
    <mergeCell ref="AC147:AD147"/>
    <mergeCell ref="AF147:AG147"/>
    <mergeCell ref="AI147:AJ147"/>
    <mergeCell ref="AL147:AM147"/>
    <mergeCell ref="AI193:AN193"/>
    <mergeCell ref="AI186:AJ186"/>
    <mergeCell ref="AL186:AM186"/>
    <mergeCell ref="AI187:AJ187"/>
    <mergeCell ref="AI207:AJ207"/>
    <mergeCell ref="AL227:AM227"/>
    <mergeCell ref="AC226:AD226"/>
    <mergeCell ref="AF226:AG226"/>
    <mergeCell ref="AI226:AJ226"/>
    <mergeCell ref="AL226:AM226"/>
    <mergeCell ref="AI227:AJ227"/>
    <mergeCell ref="AC227:AD227"/>
    <mergeCell ref="AF227:AG227"/>
    <mergeCell ref="AC222:AD222"/>
    <mergeCell ref="B185:J185"/>
    <mergeCell ref="N186:P186"/>
    <mergeCell ref="K186:M186"/>
    <mergeCell ref="E177:F177"/>
    <mergeCell ref="O177:P177"/>
    <mergeCell ref="K183:L183"/>
    <mergeCell ref="M183:N183"/>
    <mergeCell ref="M182:N182"/>
    <mergeCell ref="K181:N181"/>
    <mergeCell ref="O181:Q181"/>
    <mergeCell ref="B175:Q175"/>
    <mergeCell ref="A173:V173"/>
    <mergeCell ref="K182:L182"/>
    <mergeCell ref="B165:J165"/>
    <mergeCell ref="R167:S167"/>
    <mergeCell ref="N166:P166"/>
    <mergeCell ref="K166:M166"/>
    <mergeCell ref="C167:D167"/>
    <mergeCell ref="F167:G167"/>
    <mergeCell ref="I167:J167"/>
    <mergeCell ref="C150:D150"/>
    <mergeCell ref="F150:G150"/>
    <mergeCell ref="N147:P147"/>
    <mergeCell ref="W186:Y186"/>
    <mergeCell ref="W167:Y167"/>
    <mergeCell ref="K163:L163"/>
    <mergeCell ref="M163:N163"/>
    <mergeCell ref="R166:S166"/>
    <mergeCell ref="C170:D170"/>
    <mergeCell ref="B168:J168"/>
    <mergeCell ref="V183:Z183"/>
    <mergeCell ref="AA183:AB183"/>
    <mergeCell ref="AA147:AB147"/>
    <mergeCell ref="V163:Z163"/>
    <mergeCell ref="W170:Y170"/>
    <mergeCell ref="T170:V170"/>
    <mergeCell ref="R182:U182"/>
    <mergeCell ref="A153:V153"/>
    <mergeCell ref="B155:Q155"/>
    <mergeCell ref="K162:L162"/>
    <mergeCell ref="AI33:AN33"/>
    <mergeCell ref="AI53:AN53"/>
    <mergeCell ref="AI73:AN73"/>
    <mergeCell ref="AI93:AN93"/>
    <mergeCell ref="AI86:AJ86"/>
    <mergeCell ref="AL86:AM86"/>
    <mergeCell ref="AE82:AM82"/>
    <mergeCell ref="AE50:AH50"/>
    <mergeCell ref="AF66:AG66"/>
    <mergeCell ref="AI66:AJ66"/>
    <mergeCell ref="AI213:AN213"/>
    <mergeCell ref="AI113:AN113"/>
    <mergeCell ref="AI133:AN133"/>
    <mergeCell ref="AI153:AN153"/>
    <mergeCell ref="AI173:AN173"/>
    <mergeCell ref="AL207:AM207"/>
    <mergeCell ref="AE202:AM202"/>
    <mergeCell ref="AF207:AG207"/>
    <mergeCell ref="AL206:AM206"/>
    <mergeCell ref="AI206:AJ206"/>
    <mergeCell ref="AE62:AM62"/>
    <mergeCell ref="AL187:AM187"/>
    <mergeCell ref="AE190:AH190"/>
    <mergeCell ref="AA201:AM201"/>
    <mergeCell ref="AA62:AB62"/>
    <mergeCell ref="AA103:AB103"/>
    <mergeCell ref="AA106:AB106"/>
    <mergeCell ref="AE170:AH170"/>
    <mergeCell ref="AI167:AJ167"/>
    <mergeCell ref="AL167:AM167"/>
    <mergeCell ref="AA202:AB202"/>
    <mergeCell ref="AC202:AD202"/>
    <mergeCell ref="AC187:AD187"/>
    <mergeCell ref="AF187:AG187"/>
    <mergeCell ref="K23:L23"/>
    <mergeCell ref="M23:N23"/>
    <mergeCell ref="V23:Z23"/>
    <mergeCell ref="AA23:AB23"/>
    <mergeCell ref="V43:Z43"/>
    <mergeCell ref="AA43:AB43"/>
    <mergeCell ref="B45:J45"/>
    <mergeCell ref="K46:M46"/>
    <mergeCell ref="N46:P46"/>
    <mergeCell ref="R46:S46"/>
    <mergeCell ref="T46:V46"/>
    <mergeCell ref="W46:Y46"/>
    <mergeCell ref="AA46:AB46"/>
    <mergeCell ref="K43:L43"/>
    <mergeCell ref="B65:J65"/>
    <mergeCell ref="K66:M66"/>
    <mergeCell ref="N66:P66"/>
    <mergeCell ref="R66:S66"/>
    <mergeCell ref="AA66:AB66"/>
    <mergeCell ref="R106:S106"/>
    <mergeCell ref="K83:L83"/>
    <mergeCell ref="M83:N83"/>
    <mergeCell ref="V83:Z83"/>
    <mergeCell ref="A93:V93"/>
    <mergeCell ref="B95:Q95"/>
    <mergeCell ref="B88:J88"/>
    <mergeCell ref="R86:S86"/>
    <mergeCell ref="T86:V86"/>
    <mergeCell ref="W89:Y89"/>
    <mergeCell ref="B105:J105"/>
    <mergeCell ref="K106:M106"/>
    <mergeCell ref="N106:P106"/>
    <mergeCell ref="K101:N101"/>
    <mergeCell ref="O101:Q101"/>
    <mergeCell ref="R101:U101"/>
    <mergeCell ref="V101:Z101"/>
    <mergeCell ref="N90:P90"/>
    <mergeCell ref="R90:S90"/>
    <mergeCell ref="K103:L103"/>
    <mergeCell ref="C130:D130"/>
    <mergeCell ref="K126:M126"/>
    <mergeCell ref="B128:J128"/>
    <mergeCell ref="I130:J130"/>
    <mergeCell ref="K130:M130"/>
    <mergeCell ref="K129:M129"/>
    <mergeCell ref="E117:F117"/>
    <mergeCell ref="A113:V113"/>
    <mergeCell ref="B115:Q115"/>
    <mergeCell ref="M143:N143"/>
    <mergeCell ref="B108:J108"/>
    <mergeCell ref="K109:M109"/>
    <mergeCell ref="F130:G130"/>
    <mergeCell ref="N126:P126"/>
    <mergeCell ref="B135:Q135"/>
    <mergeCell ref="N130:P130"/>
    <mergeCell ref="N129:P129"/>
    <mergeCell ref="O117:P117"/>
    <mergeCell ref="N109:P109"/>
    <mergeCell ref="T149:V149"/>
    <mergeCell ref="AA143:AB143"/>
    <mergeCell ref="B145:J145"/>
    <mergeCell ref="K146:M146"/>
    <mergeCell ref="N146:P146"/>
    <mergeCell ref="R146:S146"/>
    <mergeCell ref="T146:V146"/>
    <mergeCell ref="W146:Y146"/>
    <mergeCell ref="AA146:AB146"/>
    <mergeCell ref="K143:L143"/>
    <mergeCell ref="W147:Y147"/>
    <mergeCell ref="V143:Z143"/>
    <mergeCell ref="K167:M167"/>
    <mergeCell ref="N167:P167"/>
    <mergeCell ref="M162:N162"/>
    <mergeCell ref="V162:Z162"/>
    <mergeCell ref="K149:M149"/>
    <mergeCell ref="O157:P157"/>
    <mergeCell ref="N149:P149"/>
    <mergeCell ref="R149:S149"/>
    <mergeCell ref="F170:G170"/>
    <mergeCell ref="R169:S169"/>
    <mergeCell ref="N169:P169"/>
    <mergeCell ref="K169:M169"/>
    <mergeCell ref="K170:M170"/>
    <mergeCell ref="I170:J170"/>
    <mergeCell ref="N170:P170"/>
    <mergeCell ref="R170:S170"/>
    <mergeCell ref="B225:J225"/>
    <mergeCell ref="B205:J205"/>
    <mergeCell ref="K206:M206"/>
    <mergeCell ref="N206:P206"/>
    <mergeCell ref="N210:P210"/>
    <mergeCell ref="K209:M209"/>
    <mergeCell ref="N209:P209"/>
  </mergeCells>
  <printOptions horizontalCentered="1"/>
  <pageMargins left="0.1968503937007874" right="0.1968503937007874" top="0.1968503937007874" bottom="0.1968503937007874" header="0.5118110236220472" footer="0.5118110236220472"/>
  <pageSetup horizontalDpi="300" verticalDpi="300" orientation="portrait" paperSize="9" r:id="rId2"/>
  <rowBreaks count="3" manualBreakCount="3">
    <brk id="71" max="255" man="1"/>
    <brk id="131" max="255" man="1"/>
    <brk id="191" max="255" man="1"/>
  </rowBreaks>
  <legacyDrawing r:id="rId1"/>
</worksheet>
</file>

<file path=xl/worksheets/sheet7.xml><?xml version="1.0" encoding="utf-8"?>
<worksheet xmlns="http://schemas.openxmlformats.org/spreadsheetml/2006/main" xmlns:r="http://schemas.openxmlformats.org/officeDocument/2006/relationships">
  <sheetPr codeName="Tabelle8"/>
  <dimension ref="A1:I523"/>
  <sheetViews>
    <sheetView workbookViewId="0" topLeftCell="A1">
      <selection activeCell="A2" sqref="A2"/>
    </sheetView>
  </sheetViews>
  <sheetFormatPr defaultColWidth="11.421875" defaultRowHeight="12.75"/>
  <cols>
    <col min="1" max="1" width="11.421875" style="7" customWidth="1"/>
    <col min="2" max="2" width="9.8515625" style="1" customWidth="1"/>
    <col min="3" max="3" width="11.421875" style="2" customWidth="1"/>
    <col min="4" max="4" width="11.00390625" style="2" customWidth="1"/>
    <col min="5" max="5" width="10.421875" style="2" customWidth="1"/>
    <col min="6" max="6" width="13.421875" style="2" customWidth="1"/>
    <col min="7" max="7" width="10.57421875" style="2" customWidth="1"/>
    <col min="8" max="8" width="23.140625" style="2" bestFit="1" customWidth="1"/>
    <col min="9" max="9" width="9.421875" style="2" customWidth="1"/>
    <col min="10" max="16384" width="11.421875" style="7" customWidth="1"/>
  </cols>
  <sheetData>
    <row r="1" spans="2:9" s="77" customFormat="1" ht="9">
      <c r="B1" s="75" t="s">
        <v>2483</v>
      </c>
      <c r="C1" s="76" t="s">
        <v>2484</v>
      </c>
      <c r="D1" s="76" t="s">
        <v>2485</v>
      </c>
      <c r="E1" s="76" t="s">
        <v>2486</v>
      </c>
      <c r="F1" s="76" t="s">
        <v>2487</v>
      </c>
      <c r="G1" s="76" t="s">
        <v>2488</v>
      </c>
      <c r="H1" s="76" t="s">
        <v>2489</v>
      </c>
      <c r="I1" s="76" t="s">
        <v>2490</v>
      </c>
    </row>
    <row r="2" spans="1:8" ht="12.75">
      <c r="A2" s="7">
        <v>1</v>
      </c>
      <c r="B2" s="1">
        <v>1</v>
      </c>
      <c r="C2" s="2" t="s">
        <v>2491</v>
      </c>
      <c r="D2" s="2" t="s">
        <v>2497</v>
      </c>
      <c r="E2" s="2" t="s">
        <v>36</v>
      </c>
      <c r="F2" s="2" t="s">
        <v>48</v>
      </c>
      <c r="G2" s="2" t="s">
        <v>36</v>
      </c>
      <c r="H2" s="3">
        <v>0</v>
      </c>
    </row>
    <row r="3" spans="1:8" ht="12.75">
      <c r="A3" s="7">
        <f>A2+1</f>
        <v>2</v>
      </c>
      <c r="B3" s="1">
        <v>2</v>
      </c>
      <c r="C3" s="2" t="s">
        <v>2492</v>
      </c>
      <c r="D3" s="2" t="s">
        <v>2493</v>
      </c>
      <c r="E3" s="2" t="s">
        <v>36</v>
      </c>
      <c r="F3" s="2" t="s">
        <v>37</v>
      </c>
      <c r="G3" s="2" t="s">
        <v>36</v>
      </c>
      <c r="H3" s="3">
        <v>0</v>
      </c>
    </row>
    <row r="4" spans="1:8" ht="12.75">
      <c r="A4" s="7">
        <f aca="true" t="shared" si="0" ref="A4:A67">A3+1</f>
        <v>3</v>
      </c>
      <c r="B4" s="1">
        <v>3</v>
      </c>
      <c r="C4" s="2" t="s">
        <v>2492</v>
      </c>
      <c r="D4" s="2" t="s">
        <v>2494</v>
      </c>
      <c r="E4" s="2" t="s">
        <v>37</v>
      </c>
      <c r="F4" s="2" t="s">
        <v>38</v>
      </c>
      <c r="G4" s="2" t="s">
        <v>59</v>
      </c>
      <c r="H4" s="3">
        <v>0</v>
      </c>
    </row>
    <row r="5" spans="1:8" ht="12.75">
      <c r="A5" s="7">
        <f t="shared" si="0"/>
        <v>4</v>
      </c>
      <c r="B5" s="1">
        <v>4</v>
      </c>
      <c r="C5" s="2" t="s">
        <v>2493</v>
      </c>
      <c r="D5" s="2" t="s">
        <v>2494</v>
      </c>
      <c r="E5" s="2" t="s">
        <v>38</v>
      </c>
      <c r="F5" s="2" t="s">
        <v>49</v>
      </c>
      <c r="G5" s="2" t="s">
        <v>48</v>
      </c>
      <c r="H5" s="3">
        <v>0</v>
      </c>
    </row>
    <row r="6" spans="1:8" ht="12.75">
      <c r="A6" s="7">
        <f t="shared" si="0"/>
        <v>5</v>
      </c>
      <c r="B6" s="1">
        <v>5</v>
      </c>
      <c r="C6" s="2" t="s">
        <v>2493</v>
      </c>
      <c r="D6" s="2" t="s">
        <v>2494</v>
      </c>
      <c r="E6" s="2" t="s">
        <v>38</v>
      </c>
      <c r="F6" s="2" t="s">
        <v>49</v>
      </c>
      <c r="G6" s="2" t="s">
        <v>48</v>
      </c>
      <c r="H6" s="3">
        <v>0</v>
      </c>
    </row>
    <row r="7" spans="1:8" ht="12.75">
      <c r="A7" s="7">
        <f t="shared" si="0"/>
        <v>6</v>
      </c>
      <c r="B7" s="1">
        <v>6</v>
      </c>
      <c r="C7" s="2" t="s">
        <v>2494</v>
      </c>
      <c r="D7" s="2" t="s">
        <v>2498</v>
      </c>
      <c r="E7" s="2" t="s">
        <v>39</v>
      </c>
      <c r="F7" s="2" t="s">
        <v>43</v>
      </c>
      <c r="G7" s="2" t="s">
        <v>60</v>
      </c>
      <c r="H7" s="3">
        <v>0</v>
      </c>
    </row>
    <row r="8" spans="1:8" ht="12.75">
      <c r="A8" s="7">
        <f t="shared" si="0"/>
        <v>7</v>
      </c>
      <c r="B8" s="1">
        <v>7</v>
      </c>
      <c r="C8" s="2" t="s">
        <v>2494</v>
      </c>
      <c r="D8" s="2" t="s">
        <v>2498</v>
      </c>
      <c r="E8" s="2" t="s">
        <v>39</v>
      </c>
      <c r="F8" s="2" t="s">
        <v>43</v>
      </c>
      <c r="G8" s="2" t="s">
        <v>60</v>
      </c>
      <c r="H8" s="3">
        <v>0</v>
      </c>
    </row>
    <row r="9" spans="1:8" ht="12.75">
      <c r="A9" s="7">
        <f t="shared" si="0"/>
        <v>8</v>
      </c>
      <c r="B9" s="1">
        <v>8</v>
      </c>
      <c r="C9" s="2" t="s">
        <v>2495</v>
      </c>
      <c r="D9" s="2" t="s">
        <v>2498</v>
      </c>
      <c r="E9" s="2" t="s">
        <v>40</v>
      </c>
      <c r="F9" s="2" t="s">
        <v>50</v>
      </c>
      <c r="G9" s="2" t="s">
        <v>37</v>
      </c>
      <c r="H9" s="3">
        <v>0.01</v>
      </c>
    </row>
    <row r="10" spans="1:8" ht="12.75">
      <c r="A10" s="7">
        <f t="shared" si="0"/>
        <v>9</v>
      </c>
      <c r="B10" s="1">
        <v>9</v>
      </c>
      <c r="C10" s="2" t="s">
        <v>2495</v>
      </c>
      <c r="D10" s="2" t="s">
        <v>2498</v>
      </c>
      <c r="E10" s="2" t="s">
        <v>40</v>
      </c>
      <c r="F10" s="2" t="s">
        <v>50</v>
      </c>
      <c r="G10" s="2" t="s">
        <v>37</v>
      </c>
      <c r="H10" s="3">
        <v>0.01</v>
      </c>
    </row>
    <row r="11" spans="1:8" ht="12.75">
      <c r="A11" s="7">
        <f t="shared" si="0"/>
        <v>10</v>
      </c>
      <c r="B11" s="1">
        <v>10</v>
      </c>
      <c r="C11" s="2" t="s">
        <v>2495</v>
      </c>
      <c r="D11" s="2" t="s">
        <v>2498</v>
      </c>
      <c r="E11" s="2" t="s">
        <v>41</v>
      </c>
      <c r="F11" s="2" t="s">
        <v>52</v>
      </c>
      <c r="G11" s="2" t="s">
        <v>61</v>
      </c>
      <c r="H11" s="3">
        <v>0.02</v>
      </c>
    </row>
    <row r="12" spans="1:8" ht="12.75">
      <c r="A12" s="7">
        <f t="shared" si="0"/>
        <v>11</v>
      </c>
      <c r="B12" s="1">
        <v>11</v>
      </c>
      <c r="C12" s="2" t="s">
        <v>2495</v>
      </c>
      <c r="D12" s="2" t="s">
        <v>2498</v>
      </c>
      <c r="E12" s="2" t="s">
        <v>41</v>
      </c>
      <c r="F12" s="2" t="s">
        <v>52</v>
      </c>
      <c r="G12" s="2" t="s">
        <v>61</v>
      </c>
      <c r="H12" s="3">
        <v>0.02</v>
      </c>
    </row>
    <row r="13" spans="1:8" ht="12.75">
      <c r="A13" s="7">
        <f t="shared" si="0"/>
        <v>12</v>
      </c>
      <c r="B13" s="1">
        <v>12</v>
      </c>
      <c r="C13" s="2" t="s">
        <v>2495</v>
      </c>
      <c r="D13" s="2" t="s">
        <v>2498</v>
      </c>
      <c r="E13" s="2" t="s">
        <v>42</v>
      </c>
      <c r="F13" s="2" t="s">
        <v>53</v>
      </c>
      <c r="G13" s="2" t="s">
        <v>62</v>
      </c>
      <c r="H13" s="3">
        <v>0.04</v>
      </c>
    </row>
    <row r="14" spans="1:8" ht="12.75">
      <c r="A14" s="7">
        <f t="shared" si="0"/>
        <v>13</v>
      </c>
      <c r="B14" s="1">
        <v>13</v>
      </c>
      <c r="C14" s="2" t="s">
        <v>2495</v>
      </c>
      <c r="D14" s="2" t="s">
        <v>2498</v>
      </c>
      <c r="E14" s="2" t="s">
        <v>42</v>
      </c>
      <c r="F14" s="2" t="s">
        <v>53</v>
      </c>
      <c r="G14" s="2" t="s">
        <v>62</v>
      </c>
      <c r="H14" s="3">
        <v>0.04</v>
      </c>
    </row>
    <row r="15" spans="1:8" ht="12.75">
      <c r="A15" s="7">
        <f t="shared" si="0"/>
        <v>14</v>
      </c>
      <c r="B15" s="1">
        <v>14</v>
      </c>
      <c r="C15" s="2" t="s">
        <v>2495</v>
      </c>
      <c r="D15" s="2" t="s">
        <v>2498</v>
      </c>
      <c r="E15" s="2" t="s">
        <v>43</v>
      </c>
      <c r="F15" s="2" t="s">
        <v>54</v>
      </c>
      <c r="G15" s="2" t="s">
        <v>63</v>
      </c>
      <c r="H15" s="3">
        <v>0.07</v>
      </c>
    </row>
    <row r="16" spans="1:8" ht="12.75">
      <c r="A16" s="7">
        <f t="shared" si="0"/>
        <v>15</v>
      </c>
      <c r="B16" s="1">
        <v>15</v>
      </c>
      <c r="C16" s="2" t="s">
        <v>2495</v>
      </c>
      <c r="D16" s="2" t="s">
        <v>2498</v>
      </c>
      <c r="E16" s="2" t="s">
        <v>43</v>
      </c>
      <c r="F16" s="2" t="s">
        <v>54</v>
      </c>
      <c r="G16" s="2" t="s">
        <v>63</v>
      </c>
      <c r="H16" s="3">
        <v>0.07</v>
      </c>
    </row>
    <row r="17" spans="1:8" ht="12.75">
      <c r="A17" s="7">
        <f t="shared" si="0"/>
        <v>16</v>
      </c>
      <c r="B17" s="1">
        <v>16</v>
      </c>
      <c r="C17" s="2" t="s">
        <v>2495</v>
      </c>
      <c r="D17" s="2" t="s">
        <v>2496</v>
      </c>
      <c r="E17" s="2" t="s">
        <v>44</v>
      </c>
      <c r="F17" s="2" t="s">
        <v>55</v>
      </c>
      <c r="G17" s="2" t="s">
        <v>64</v>
      </c>
      <c r="H17" s="3">
        <v>0.1</v>
      </c>
    </row>
    <row r="18" spans="1:8" ht="12.75">
      <c r="A18" s="7">
        <f t="shared" si="0"/>
        <v>17</v>
      </c>
      <c r="B18" s="1">
        <v>17</v>
      </c>
      <c r="C18" s="2" t="s">
        <v>2496</v>
      </c>
      <c r="D18" s="2" t="s">
        <v>2496</v>
      </c>
      <c r="E18" s="2" t="s">
        <v>45</v>
      </c>
      <c r="F18" s="2" t="s">
        <v>56</v>
      </c>
      <c r="G18" s="2" t="s">
        <v>38</v>
      </c>
      <c r="H18" s="3">
        <v>0.13</v>
      </c>
    </row>
    <row r="19" spans="1:8" ht="12.75">
      <c r="A19" s="7">
        <f t="shared" si="0"/>
        <v>18</v>
      </c>
      <c r="B19" s="1">
        <v>18</v>
      </c>
      <c r="C19" s="2" t="s">
        <v>2496</v>
      </c>
      <c r="D19" s="2" t="s">
        <v>2499</v>
      </c>
      <c r="E19" s="2" t="s">
        <v>46</v>
      </c>
      <c r="F19" s="2" t="s">
        <v>57</v>
      </c>
      <c r="G19" s="2" t="s">
        <v>51</v>
      </c>
      <c r="H19" s="3">
        <v>0.16</v>
      </c>
    </row>
    <row r="20" spans="1:8" ht="12.75">
      <c r="A20" s="7">
        <f t="shared" si="0"/>
        <v>19</v>
      </c>
      <c r="B20" s="2" t="s">
        <v>1743</v>
      </c>
      <c r="C20" s="2" t="s">
        <v>2496</v>
      </c>
      <c r="D20" s="2" t="s">
        <v>35</v>
      </c>
      <c r="E20" s="2" t="s">
        <v>47</v>
      </c>
      <c r="F20" s="2" t="s">
        <v>58</v>
      </c>
      <c r="G20" s="2" t="s">
        <v>65</v>
      </c>
      <c r="H20" s="3">
        <v>0.2</v>
      </c>
    </row>
    <row r="21" spans="1:8" ht="12.75">
      <c r="A21" s="7">
        <f t="shared" si="0"/>
        <v>20</v>
      </c>
      <c r="B21" s="2" t="s">
        <v>1744</v>
      </c>
      <c r="C21" s="2" t="s">
        <v>2496</v>
      </c>
      <c r="D21" s="2" t="s">
        <v>35</v>
      </c>
      <c r="E21" s="2" t="s">
        <v>47</v>
      </c>
      <c r="F21" s="2" t="s">
        <v>58</v>
      </c>
      <c r="G21" s="2" t="s">
        <v>65</v>
      </c>
      <c r="H21" s="3">
        <v>0.2</v>
      </c>
    </row>
    <row r="22" spans="1:8" ht="12.75">
      <c r="A22" s="7">
        <f t="shared" si="0"/>
        <v>21</v>
      </c>
      <c r="B22" s="2" t="s">
        <v>1745</v>
      </c>
      <c r="C22" s="2" t="s">
        <v>2496</v>
      </c>
      <c r="D22" s="2" t="s">
        <v>35</v>
      </c>
      <c r="E22" s="2" t="s">
        <v>47</v>
      </c>
      <c r="F22" s="2" t="s">
        <v>58</v>
      </c>
      <c r="G22" s="2" t="s">
        <v>65</v>
      </c>
      <c r="H22" s="3">
        <v>0.2</v>
      </c>
    </row>
    <row r="23" spans="1:8" ht="12.75">
      <c r="A23" s="7">
        <f t="shared" si="0"/>
        <v>22</v>
      </c>
      <c r="B23" s="2" t="s">
        <v>1746</v>
      </c>
      <c r="C23" s="2" t="s">
        <v>2496</v>
      </c>
      <c r="D23" s="2" t="s">
        <v>35</v>
      </c>
      <c r="E23" s="2" t="s">
        <v>47</v>
      </c>
      <c r="F23" s="2" t="s">
        <v>58</v>
      </c>
      <c r="G23" s="2" t="s">
        <v>65</v>
      </c>
      <c r="H23" s="3">
        <v>0.2</v>
      </c>
    </row>
    <row r="24" spans="1:8" ht="12.75">
      <c r="A24" s="7">
        <f t="shared" si="0"/>
        <v>23</v>
      </c>
      <c r="B24" s="2" t="s">
        <v>1748</v>
      </c>
      <c r="C24" s="2" t="s">
        <v>2496</v>
      </c>
      <c r="D24" s="2" t="s">
        <v>35</v>
      </c>
      <c r="E24" s="2" t="s">
        <v>47</v>
      </c>
      <c r="F24" s="2" t="s">
        <v>58</v>
      </c>
      <c r="G24" s="2" t="s">
        <v>65</v>
      </c>
      <c r="H24" s="3">
        <v>0.2</v>
      </c>
    </row>
    <row r="25" spans="1:8" ht="12.75">
      <c r="A25" s="7">
        <f t="shared" si="0"/>
        <v>24</v>
      </c>
      <c r="B25" s="2" t="s">
        <v>1747</v>
      </c>
      <c r="C25" s="2" t="s">
        <v>2496</v>
      </c>
      <c r="D25" s="2" t="s">
        <v>35</v>
      </c>
      <c r="E25" s="2" t="s">
        <v>47</v>
      </c>
      <c r="F25" s="2" t="s">
        <v>58</v>
      </c>
      <c r="G25" s="2" t="s">
        <v>65</v>
      </c>
      <c r="H25" s="3">
        <v>0.2</v>
      </c>
    </row>
    <row r="26" spans="1:8" ht="12.75">
      <c r="A26" s="7">
        <f t="shared" si="0"/>
        <v>25</v>
      </c>
      <c r="B26" s="2" t="s">
        <v>1749</v>
      </c>
      <c r="C26" s="2" t="s">
        <v>2496</v>
      </c>
      <c r="D26" s="2" t="s">
        <v>35</v>
      </c>
      <c r="E26" s="2" t="s">
        <v>47</v>
      </c>
      <c r="F26" s="2" t="s">
        <v>58</v>
      </c>
      <c r="G26" s="2" t="s">
        <v>65</v>
      </c>
      <c r="H26" s="3">
        <v>0.2</v>
      </c>
    </row>
    <row r="27" spans="1:8" ht="12.75">
      <c r="A27" s="7">
        <f t="shared" si="0"/>
        <v>26</v>
      </c>
      <c r="B27" s="2" t="s">
        <v>1750</v>
      </c>
      <c r="C27" s="2" t="s">
        <v>2496</v>
      </c>
      <c r="D27" s="2" t="s">
        <v>35</v>
      </c>
      <c r="E27" s="2" t="s">
        <v>47</v>
      </c>
      <c r="F27" s="2" t="s">
        <v>58</v>
      </c>
      <c r="G27" s="2" t="s">
        <v>65</v>
      </c>
      <c r="H27" s="3">
        <v>0.2</v>
      </c>
    </row>
    <row r="28" spans="1:8" ht="12.75">
      <c r="A28" s="7">
        <f t="shared" si="0"/>
        <v>27</v>
      </c>
      <c r="B28" s="2" t="s">
        <v>1751</v>
      </c>
      <c r="C28" s="2" t="s">
        <v>2496</v>
      </c>
      <c r="D28" s="2" t="s">
        <v>35</v>
      </c>
      <c r="E28" s="2" t="s">
        <v>47</v>
      </c>
      <c r="F28" s="2" t="s">
        <v>58</v>
      </c>
      <c r="G28" s="2" t="s">
        <v>65</v>
      </c>
      <c r="H28" s="3">
        <v>0.2</v>
      </c>
    </row>
    <row r="29" spans="1:8" ht="12.75">
      <c r="A29" s="7">
        <f t="shared" si="0"/>
        <v>28</v>
      </c>
      <c r="B29" s="2" t="s">
        <v>1752</v>
      </c>
      <c r="C29" s="2" t="s">
        <v>2496</v>
      </c>
      <c r="D29" s="2" t="s">
        <v>35</v>
      </c>
      <c r="E29" s="2" t="s">
        <v>47</v>
      </c>
      <c r="F29" s="2" t="s">
        <v>58</v>
      </c>
      <c r="G29" s="2" t="s">
        <v>65</v>
      </c>
      <c r="H29" s="3">
        <v>0.2</v>
      </c>
    </row>
    <row r="30" spans="1:8" ht="12.75">
      <c r="A30" s="7">
        <f t="shared" si="0"/>
        <v>29</v>
      </c>
      <c r="B30" s="2" t="s">
        <v>1753</v>
      </c>
      <c r="C30" s="2" t="s">
        <v>2496</v>
      </c>
      <c r="D30" s="2" t="s">
        <v>35</v>
      </c>
      <c r="E30" s="2" t="s">
        <v>47</v>
      </c>
      <c r="F30" s="2" t="s">
        <v>58</v>
      </c>
      <c r="G30" s="2" t="s">
        <v>65</v>
      </c>
      <c r="H30" s="3">
        <v>0.2</v>
      </c>
    </row>
    <row r="31" spans="1:8" ht="12.75">
      <c r="A31" s="7">
        <f t="shared" si="0"/>
        <v>30</v>
      </c>
      <c r="B31" s="2" t="s">
        <v>1754</v>
      </c>
      <c r="C31" s="2" t="s">
        <v>2496</v>
      </c>
      <c r="D31" s="2" t="s">
        <v>35</v>
      </c>
      <c r="E31" s="2" t="s">
        <v>47</v>
      </c>
      <c r="F31" s="2" t="s">
        <v>58</v>
      </c>
      <c r="G31" s="2" t="s">
        <v>65</v>
      </c>
      <c r="H31" s="3">
        <v>0.2</v>
      </c>
    </row>
    <row r="32" spans="1:8" ht="12.75">
      <c r="A32" s="7">
        <f t="shared" si="0"/>
        <v>31</v>
      </c>
      <c r="B32" s="2" t="s">
        <v>1755</v>
      </c>
      <c r="C32" s="2" t="s">
        <v>2496</v>
      </c>
      <c r="D32" s="2" t="s">
        <v>35</v>
      </c>
      <c r="E32" s="2" t="s">
        <v>47</v>
      </c>
      <c r="F32" s="2" t="s">
        <v>58</v>
      </c>
      <c r="G32" s="2" t="s">
        <v>65</v>
      </c>
      <c r="H32" s="3">
        <v>0.2</v>
      </c>
    </row>
    <row r="33" spans="1:8" ht="12.75">
      <c r="A33" s="7">
        <f t="shared" si="0"/>
        <v>32</v>
      </c>
      <c r="B33" s="2" t="s">
        <v>1756</v>
      </c>
      <c r="C33" s="2" t="s">
        <v>2496</v>
      </c>
      <c r="D33" s="2" t="s">
        <v>35</v>
      </c>
      <c r="E33" s="2" t="s">
        <v>47</v>
      </c>
      <c r="F33" s="2" t="s">
        <v>58</v>
      </c>
      <c r="G33" s="2" t="s">
        <v>65</v>
      </c>
      <c r="H33" s="3">
        <v>0.2</v>
      </c>
    </row>
    <row r="34" spans="1:8" ht="12.75">
      <c r="A34" s="7">
        <f t="shared" si="0"/>
        <v>33</v>
      </c>
      <c r="B34" s="2" t="s">
        <v>1757</v>
      </c>
      <c r="C34" s="2" t="s">
        <v>2496</v>
      </c>
      <c r="D34" s="2" t="s">
        <v>35</v>
      </c>
      <c r="E34" s="2" t="s">
        <v>47</v>
      </c>
      <c r="F34" s="2" t="s">
        <v>58</v>
      </c>
      <c r="G34" s="2" t="s">
        <v>65</v>
      </c>
      <c r="H34" s="3">
        <v>0.2</v>
      </c>
    </row>
    <row r="35" spans="1:8" ht="12.75">
      <c r="A35" s="7">
        <f t="shared" si="0"/>
        <v>34</v>
      </c>
      <c r="B35" s="2" t="s">
        <v>1758</v>
      </c>
      <c r="C35" s="2" t="s">
        <v>2496</v>
      </c>
      <c r="D35" s="2" t="s">
        <v>35</v>
      </c>
      <c r="E35" s="2" t="s">
        <v>47</v>
      </c>
      <c r="F35" s="2" t="s">
        <v>58</v>
      </c>
      <c r="G35" s="2" t="s">
        <v>65</v>
      </c>
      <c r="H35" s="3">
        <v>0.2</v>
      </c>
    </row>
    <row r="36" spans="1:8" ht="12.75">
      <c r="A36" s="7">
        <f t="shared" si="0"/>
        <v>35</v>
      </c>
      <c r="B36" s="2" t="s">
        <v>1759</v>
      </c>
      <c r="C36" s="2" t="s">
        <v>2496</v>
      </c>
      <c r="D36" s="2" t="s">
        <v>35</v>
      </c>
      <c r="E36" s="2" t="s">
        <v>47</v>
      </c>
      <c r="F36" s="2" t="s">
        <v>58</v>
      </c>
      <c r="G36" s="2" t="s">
        <v>65</v>
      </c>
      <c r="H36" s="3">
        <v>0.2</v>
      </c>
    </row>
    <row r="37" spans="1:8" ht="12.75">
      <c r="A37" s="7">
        <f t="shared" si="0"/>
        <v>36</v>
      </c>
      <c r="B37" s="2" t="s">
        <v>1760</v>
      </c>
      <c r="C37" s="2" t="s">
        <v>2496</v>
      </c>
      <c r="D37" s="2" t="s">
        <v>35</v>
      </c>
      <c r="E37" s="2" t="s">
        <v>47</v>
      </c>
      <c r="F37" s="2" t="s">
        <v>58</v>
      </c>
      <c r="G37" s="2" t="s">
        <v>65</v>
      </c>
      <c r="H37" s="3">
        <v>0.2</v>
      </c>
    </row>
    <row r="38" spans="1:8" ht="12.75">
      <c r="A38" s="7">
        <f t="shared" si="0"/>
        <v>37</v>
      </c>
      <c r="B38" s="2" t="s">
        <v>1761</v>
      </c>
      <c r="C38" s="2" t="s">
        <v>2496</v>
      </c>
      <c r="D38" s="2" t="s">
        <v>35</v>
      </c>
      <c r="E38" s="2" t="s">
        <v>47</v>
      </c>
      <c r="F38" s="2" t="s">
        <v>58</v>
      </c>
      <c r="G38" s="2" t="s">
        <v>65</v>
      </c>
      <c r="H38" s="3">
        <v>0.2</v>
      </c>
    </row>
    <row r="39" spans="1:8" ht="12.75">
      <c r="A39" s="7">
        <f t="shared" si="0"/>
        <v>38</v>
      </c>
      <c r="B39" s="2" t="s">
        <v>1762</v>
      </c>
      <c r="C39" s="2" t="s">
        <v>2496</v>
      </c>
      <c r="D39" s="2" t="s">
        <v>35</v>
      </c>
      <c r="E39" s="2" t="s">
        <v>47</v>
      </c>
      <c r="F39" s="2" t="s">
        <v>58</v>
      </c>
      <c r="G39" s="2" t="s">
        <v>65</v>
      </c>
      <c r="H39" s="3">
        <v>0.2</v>
      </c>
    </row>
    <row r="40" spans="1:8" ht="12.75">
      <c r="A40" s="7">
        <f t="shared" si="0"/>
        <v>39</v>
      </c>
      <c r="B40" s="2" t="s">
        <v>1763</v>
      </c>
      <c r="C40" s="2" t="s">
        <v>2496</v>
      </c>
      <c r="D40" s="2" t="s">
        <v>35</v>
      </c>
      <c r="E40" s="2" t="s">
        <v>47</v>
      </c>
      <c r="F40" s="2" t="s">
        <v>58</v>
      </c>
      <c r="G40" s="2" t="s">
        <v>65</v>
      </c>
      <c r="H40" s="3">
        <v>0.2</v>
      </c>
    </row>
    <row r="41" spans="1:8" ht="12.75">
      <c r="A41" s="7">
        <f t="shared" si="0"/>
        <v>40</v>
      </c>
      <c r="B41" s="2" t="s">
        <v>1764</v>
      </c>
      <c r="C41" s="2" t="s">
        <v>2496</v>
      </c>
      <c r="D41" s="2" t="s">
        <v>35</v>
      </c>
      <c r="E41" s="2" t="s">
        <v>47</v>
      </c>
      <c r="F41" s="2" t="s">
        <v>58</v>
      </c>
      <c r="G41" s="2" t="s">
        <v>65</v>
      </c>
      <c r="H41" s="3">
        <v>0.2</v>
      </c>
    </row>
    <row r="42" spans="1:8" ht="12.75">
      <c r="A42" s="7">
        <f t="shared" si="0"/>
        <v>41</v>
      </c>
      <c r="B42" s="2" t="s">
        <v>1765</v>
      </c>
      <c r="C42" s="2" t="s">
        <v>2496</v>
      </c>
      <c r="D42" s="2" t="s">
        <v>35</v>
      </c>
      <c r="E42" s="2" t="s">
        <v>47</v>
      </c>
      <c r="F42" s="2" t="s">
        <v>58</v>
      </c>
      <c r="G42" s="2" t="s">
        <v>65</v>
      </c>
      <c r="H42" s="3">
        <v>0.2</v>
      </c>
    </row>
    <row r="43" spans="1:8" ht="12.75">
      <c r="A43" s="7">
        <f t="shared" si="0"/>
        <v>42</v>
      </c>
      <c r="B43" s="2" t="s">
        <v>1766</v>
      </c>
      <c r="C43" s="2" t="s">
        <v>2496</v>
      </c>
      <c r="D43" s="2" t="s">
        <v>35</v>
      </c>
      <c r="E43" s="2" t="s">
        <v>47</v>
      </c>
      <c r="F43" s="2" t="s">
        <v>58</v>
      </c>
      <c r="G43" s="2" t="s">
        <v>65</v>
      </c>
      <c r="H43" s="3">
        <v>0.2</v>
      </c>
    </row>
    <row r="44" spans="1:8" ht="12.75">
      <c r="A44" s="7">
        <f t="shared" si="0"/>
        <v>43</v>
      </c>
      <c r="B44" s="2" t="s">
        <v>1767</v>
      </c>
      <c r="C44" s="2" t="s">
        <v>2496</v>
      </c>
      <c r="D44" s="2" t="s">
        <v>35</v>
      </c>
      <c r="E44" s="2" t="s">
        <v>47</v>
      </c>
      <c r="F44" s="2" t="s">
        <v>58</v>
      </c>
      <c r="G44" s="2" t="s">
        <v>65</v>
      </c>
      <c r="H44" s="3">
        <v>0.2</v>
      </c>
    </row>
    <row r="45" spans="1:8" ht="12.75">
      <c r="A45" s="7">
        <f t="shared" si="0"/>
        <v>44</v>
      </c>
      <c r="B45" s="2" t="s">
        <v>1768</v>
      </c>
      <c r="C45" s="2" t="s">
        <v>2496</v>
      </c>
      <c r="D45" s="2" t="s">
        <v>35</v>
      </c>
      <c r="E45" s="2" t="s">
        <v>47</v>
      </c>
      <c r="F45" s="2" t="s">
        <v>58</v>
      </c>
      <c r="G45" s="2" t="s">
        <v>65</v>
      </c>
      <c r="H45" s="3">
        <v>0.2</v>
      </c>
    </row>
    <row r="46" spans="1:8" ht="12.75">
      <c r="A46" s="7">
        <f t="shared" si="0"/>
        <v>45</v>
      </c>
      <c r="B46" s="2" t="s">
        <v>1769</v>
      </c>
      <c r="C46" s="2" t="s">
        <v>2496</v>
      </c>
      <c r="D46" s="2" t="s">
        <v>35</v>
      </c>
      <c r="E46" s="2" t="s">
        <v>47</v>
      </c>
      <c r="F46" s="2" t="s">
        <v>58</v>
      </c>
      <c r="G46" s="2" t="s">
        <v>65</v>
      </c>
      <c r="H46" s="3">
        <v>0.2</v>
      </c>
    </row>
    <row r="47" spans="1:8" ht="12.75">
      <c r="A47" s="7">
        <f t="shared" si="0"/>
        <v>46</v>
      </c>
      <c r="B47" s="2" t="s">
        <v>1770</v>
      </c>
      <c r="C47" s="2" t="s">
        <v>2496</v>
      </c>
      <c r="D47" s="2" t="s">
        <v>35</v>
      </c>
      <c r="E47" s="2" t="s">
        <v>47</v>
      </c>
      <c r="F47" s="2" t="s">
        <v>58</v>
      </c>
      <c r="G47" s="2" t="s">
        <v>65</v>
      </c>
      <c r="H47" s="3">
        <v>0.2</v>
      </c>
    </row>
    <row r="48" spans="1:8" ht="12.75">
      <c r="A48" s="7">
        <f t="shared" si="0"/>
        <v>47</v>
      </c>
      <c r="B48" s="2" t="s">
        <v>1771</v>
      </c>
      <c r="C48" s="2" t="s">
        <v>2496</v>
      </c>
      <c r="D48" s="2" t="s">
        <v>35</v>
      </c>
      <c r="E48" s="2" t="s">
        <v>47</v>
      </c>
      <c r="F48" s="2" t="s">
        <v>58</v>
      </c>
      <c r="G48" s="2" t="s">
        <v>65</v>
      </c>
      <c r="H48" s="3">
        <v>0.2</v>
      </c>
    </row>
    <row r="49" spans="1:8" ht="12.75">
      <c r="A49" s="7">
        <f t="shared" si="0"/>
        <v>48</v>
      </c>
      <c r="B49" s="2" t="s">
        <v>1772</v>
      </c>
      <c r="C49" s="2" t="s">
        <v>2496</v>
      </c>
      <c r="D49" s="2" t="s">
        <v>35</v>
      </c>
      <c r="E49" s="2" t="s">
        <v>47</v>
      </c>
      <c r="F49" s="2" t="s">
        <v>58</v>
      </c>
      <c r="G49" s="2" t="s">
        <v>65</v>
      </c>
      <c r="H49" s="3">
        <v>0.2</v>
      </c>
    </row>
    <row r="50" spans="1:8" ht="12.75">
      <c r="A50" s="7">
        <f t="shared" si="0"/>
        <v>49</v>
      </c>
      <c r="B50" s="2" t="s">
        <v>1773</v>
      </c>
      <c r="C50" s="2" t="s">
        <v>2496</v>
      </c>
      <c r="D50" s="2" t="s">
        <v>35</v>
      </c>
      <c r="E50" s="2" t="s">
        <v>47</v>
      </c>
      <c r="F50" s="2" t="s">
        <v>58</v>
      </c>
      <c r="G50" s="2" t="s">
        <v>65</v>
      </c>
      <c r="H50" s="3">
        <v>0.2</v>
      </c>
    </row>
    <row r="51" spans="1:8" ht="12.75">
      <c r="A51" s="7">
        <f t="shared" si="0"/>
        <v>50</v>
      </c>
      <c r="B51" s="2" t="s">
        <v>1774</v>
      </c>
      <c r="C51" s="2" t="s">
        <v>2496</v>
      </c>
      <c r="D51" s="2" t="s">
        <v>35</v>
      </c>
      <c r="E51" s="2" t="s">
        <v>47</v>
      </c>
      <c r="F51" s="2" t="s">
        <v>58</v>
      </c>
      <c r="G51" s="2" t="s">
        <v>65</v>
      </c>
      <c r="H51" s="3">
        <v>0.2</v>
      </c>
    </row>
    <row r="52" spans="1:8" ht="12.75">
      <c r="A52" s="7">
        <f t="shared" si="0"/>
        <v>51</v>
      </c>
      <c r="B52" s="2" t="s">
        <v>1775</v>
      </c>
      <c r="C52" s="2" t="s">
        <v>2496</v>
      </c>
      <c r="D52" s="2" t="s">
        <v>35</v>
      </c>
      <c r="E52" s="2" t="s">
        <v>47</v>
      </c>
      <c r="F52" s="2" t="s">
        <v>58</v>
      </c>
      <c r="G52" s="2" t="s">
        <v>65</v>
      </c>
      <c r="H52" s="3">
        <v>0.2</v>
      </c>
    </row>
    <row r="53" spans="1:8" ht="12.75">
      <c r="A53" s="7">
        <f t="shared" si="0"/>
        <v>52</v>
      </c>
      <c r="B53" s="2" t="s">
        <v>1776</v>
      </c>
      <c r="C53" s="2" t="s">
        <v>2496</v>
      </c>
      <c r="D53" s="2" t="s">
        <v>35</v>
      </c>
      <c r="E53" s="2" t="s">
        <v>47</v>
      </c>
      <c r="F53" s="2" t="s">
        <v>58</v>
      </c>
      <c r="G53" s="2" t="s">
        <v>65</v>
      </c>
      <c r="H53" s="3">
        <v>0.2</v>
      </c>
    </row>
    <row r="54" spans="1:8" ht="12.75">
      <c r="A54" s="7">
        <f t="shared" si="0"/>
        <v>53</v>
      </c>
      <c r="B54" s="2" t="s">
        <v>1777</v>
      </c>
      <c r="C54" s="2" t="s">
        <v>2496</v>
      </c>
      <c r="D54" s="2" t="s">
        <v>35</v>
      </c>
      <c r="E54" s="2" t="s">
        <v>47</v>
      </c>
      <c r="F54" s="2" t="s">
        <v>58</v>
      </c>
      <c r="G54" s="2" t="s">
        <v>65</v>
      </c>
      <c r="H54" s="3">
        <v>0.2</v>
      </c>
    </row>
    <row r="55" spans="1:8" ht="12.75">
      <c r="A55" s="7">
        <f t="shared" si="0"/>
        <v>54</v>
      </c>
      <c r="B55" s="2" t="s">
        <v>1778</v>
      </c>
      <c r="C55" s="2" t="s">
        <v>2496</v>
      </c>
      <c r="D55" s="2" t="s">
        <v>35</v>
      </c>
      <c r="E55" s="2" t="s">
        <v>47</v>
      </c>
      <c r="F55" s="2" t="s">
        <v>58</v>
      </c>
      <c r="G55" s="2" t="s">
        <v>65</v>
      </c>
      <c r="H55" s="3">
        <v>0.2</v>
      </c>
    </row>
    <row r="56" spans="1:8" ht="12.75">
      <c r="A56" s="7">
        <f t="shared" si="0"/>
        <v>55</v>
      </c>
      <c r="B56" s="2" t="s">
        <v>1779</v>
      </c>
      <c r="C56" s="2" t="s">
        <v>2496</v>
      </c>
      <c r="D56" s="2" t="s">
        <v>35</v>
      </c>
      <c r="E56" s="2" t="s">
        <v>47</v>
      </c>
      <c r="F56" s="2" t="s">
        <v>58</v>
      </c>
      <c r="G56" s="2" t="s">
        <v>65</v>
      </c>
      <c r="H56" s="3">
        <v>0.2</v>
      </c>
    </row>
    <row r="57" spans="1:8" ht="12.75">
      <c r="A57" s="7">
        <f t="shared" si="0"/>
        <v>56</v>
      </c>
      <c r="B57" s="2" t="s">
        <v>1780</v>
      </c>
      <c r="C57" s="2" t="s">
        <v>2496</v>
      </c>
      <c r="D57" s="2" t="s">
        <v>35</v>
      </c>
      <c r="E57" s="2" t="s">
        <v>47</v>
      </c>
      <c r="F57" s="2" t="s">
        <v>58</v>
      </c>
      <c r="G57" s="2" t="s">
        <v>65</v>
      </c>
      <c r="H57" s="3">
        <v>0.2</v>
      </c>
    </row>
    <row r="58" spans="1:8" ht="12.75">
      <c r="A58" s="7">
        <f t="shared" si="0"/>
        <v>57</v>
      </c>
      <c r="B58" s="2" t="s">
        <v>1781</v>
      </c>
      <c r="C58" s="2" t="s">
        <v>2496</v>
      </c>
      <c r="D58" s="2" t="s">
        <v>35</v>
      </c>
      <c r="E58" s="2" t="s">
        <v>47</v>
      </c>
      <c r="F58" s="2" t="s">
        <v>58</v>
      </c>
      <c r="G58" s="2" t="s">
        <v>65</v>
      </c>
      <c r="H58" s="3">
        <v>0.2</v>
      </c>
    </row>
    <row r="59" spans="1:8" ht="12.75">
      <c r="A59" s="7">
        <f t="shared" si="0"/>
        <v>58</v>
      </c>
      <c r="B59" s="2" t="s">
        <v>1782</v>
      </c>
      <c r="C59" s="2" t="s">
        <v>2496</v>
      </c>
      <c r="D59" s="2" t="s">
        <v>35</v>
      </c>
      <c r="E59" s="2" t="s">
        <v>47</v>
      </c>
      <c r="F59" s="2" t="s">
        <v>58</v>
      </c>
      <c r="G59" s="2" t="s">
        <v>65</v>
      </c>
      <c r="H59" s="3">
        <v>0.2</v>
      </c>
    </row>
    <row r="60" spans="1:8" ht="12.75">
      <c r="A60" s="7">
        <f t="shared" si="0"/>
        <v>59</v>
      </c>
      <c r="B60" s="2" t="s">
        <v>1783</v>
      </c>
      <c r="C60" s="2" t="s">
        <v>2496</v>
      </c>
      <c r="D60" s="2" t="s">
        <v>35</v>
      </c>
      <c r="E60" s="2" t="s">
        <v>47</v>
      </c>
      <c r="F60" s="2" t="s">
        <v>58</v>
      </c>
      <c r="G60" s="2" t="s">
        <v>65</v>
      </c>
      <c r="H60" s="3">
        <v>0.2</v>
      </c>
    </row>
    <row r="61" spans="1:8" ht="12.75">
      <c r="A61" s="7">
        <f t="shared" si="0"/>
        <v>60</v>
      </c>
      <c r="B61" s="2" t="s">
        <v>1784</v>
      </c>
      <c r="C61" s="2" t="s">
        <v>2496</v>
      </c>
      <c r="D61" s="2" t="s">
        <v>35</v>
      </c>
      <c r="E61" s="2" t="s">
        <v>47</v>
      </c>
      <c r="F61" s="2" t="s">
        <v>58</v>
      </c>
      <c r="G61" s="2" t="s">
        <v>65</v>
      </c>
      <c r="H61" s="3">
        <v>0.2</v>
      </c>
    </row>
    <row r="62" spans="1:8" ht="12.75">
      <c r="A62" s="7">
        <f t="shared" si="0"/>
        <v>61</v>
      </c>
      <c r="B62" s="2" t="s">
        <v>1785</v>
      </c>
      <c r="C62" s="2" t="s">
        <v>2496</v>
      </c>
      <c r="D62" s="2" t="s">
        <v>35</v>
      </c>
      <c r="E62" s="2" t="s">
        <v>47</v>
      </c>
      <c r="F62" s="2" t="s">
        <v>58</v>
      </c>
      <c r="G62" s="2" t="s">
        <v>65</v>
      </c>
      <c r="H62" s="3">
        <v>0.2</v>
      </c>
    </row>
    <row r="63" spans="1:8" ht="12.75">
      <c r="A63" s="7">
        <f t="shared" si="0"/>
        <v>62</v>
      </c>
      <c r="B63" s="2" t="s">
        <v>1786</v>
      </c>
      <c r="C63" s="2" t="s">
        <v>2496</v>
      </c>
      <c r="D63" s="2" t="s">
        <v>35</v>
      </c>
      <c r="E63" s="2" t="s">
        <v>47</v>
      </c>
      <c r="F63" s="2" t="s">
        <v>58</v>
      </c>
      <c r="G63" s="2" t="s">
        <v>65</v>
      </c>
      <c r="H63" s="3">
        <v>0.2</v>
      </c>
    </row>
    <row r="64" spans="1:8" ht="12.75">
      <c r="A64" s="7">
        <f t="shared" si="0"/>
        <v>63</v>
      </c>
      <c r="B64" s="2" t="s">
        <v>1787</v>
      </c>
      <c r="C64" s="2" t="s">
        <v>2496</v>
      </c>
      <c r="D64" s="2" t="s">
        <v>35</v>
      </c>
      <c r="E64" s="2" t="s">
        <v>47</v>
      </c>
      <c r="F64" s="2" t="s">
        <v>58</v>
      </c>
      <c r="G64" s="2" t="s">
        <v>65</v>
      </c>
      <c r="H64" s="3">
        <v>0.2</v>
      </c>
    </row>
    <row r="65" spans="1:8" ht="12.75">
      <c r="A65" s="7">
        <f t="shared" si="0"/>
        <v>64</v>
      </c>
      <c r="B65" s="2" t="s">
        <v>1788</v>
      </c>
      <c r="C65" s="2" t="s">
        <v>2496</v>
      </c>
      <c r="D65" s="2" t="s">
        <v>35</v>
      </c>
      <c r="E65" s="2" t="s">
        <v>47</v>
      </c>
      <c r="F65" s="2" t="s">
        <v>58</v>
      </c>
      <c r="G65" s="2" t="s">
        <v>65</v>
      </c>
      <c r="H65" s="3">
        <v>0.2</v>
      </c>
    </row>
    <row r="66" spans="1:8" ht="12.75">
      <c r="A66" s="7">
        <f t="shared" si="0"/>
        <v>65</v>
      </c>
      <c r="B66" s="2" t="s">
        <v>1789</v>
      </c>
      <c r="C66" s="2" t="s">
        <v>2496</v>
      </c>
      <c r="D66" s="2" t="s">
        <v>35</v>
      </c>
      <c r="E66" s="2" t="s">
        <v>47</v>
      </c>
      <c r="F66" s="2" t="s">
        <v>58</v>
      </c>
      <c r="G66" s="2" t="s">
        <v>65</v>
      </c>
      <c r="H66" s="3">
        <v>0.2</v>
      </c>
    </row>
    <row r="67" spans="1:8" ht="12.75">
      <c r="A67" s="7">
        <f t="shared" si="0"/>
        <v>66</v>
      </c>
      <c r="B67" s="2" t="s">
        <v>1790</v>
      </c>
      <c r="C67" s="2" t="s">
        <v>2496</v>
      </c>
      <c r="D67" s="2" t="s">
        <v>35</v>
      </c>
      <c r="E67" s="2" t="s">
        <v>47</v>
      </c>
      <c r="F67" s="2" t="s">
        <v>58</v>
      </c>
      <c r="G67" s="2" t="s">
        <v>65</v>
      </c>
      <c r="H67" s="3">
        <v>0.2</v>
      </c>
    </row>
    <row r="68" spans="1:8" ht="12.75">
      <c r="A68" s="7">
        <f aca="true" t="shared" si="1" ref="A68:A126">A67+1</f>
        <v>67</v>
      </c>
      <c r="B68" s="2" t="s">
        <v>1791</v>
      </c>
      <c r="C68" s="2" t="s">
        <v>2496</v>
      </c>
      <c r="D68" s="2" t="s">
        <v>35</v>
      </c>
      <c r="E68" s="2" t="s">
        <v>47</v>
      </c>
      <c r="F68" s="2" t="s">
        <v>58</v>
      </c>
      <c r="G68" s="2" t="s">
        <v>65</v>
      </c>
      <c r="H68" s="3">
        <v>0.2</v>
      </c>
    </row>
    <row r="69" spans="1:8" ht="12.75">
      <c r="A69" s="7">
        <f t="shared" si="1"/>
        <v>68</v>
      </c>
      <c r="B69" s="2" t="s">
        <v>1792</v>
      </c>
      <c r="C69" s="2" t="s">
        <v>2496</v>
      </c>
      <c r="D69" s="2" t="s">
        <v>35</v>
      </c>
      <c r="E69" s="2" t="s">
        <v>47</v>
      </c>
      <c r="F69" s="2" t="s">
        <v>58</v>
      </c>
      <c r="G69" s="2" t="s">
        <v>65</v>
      </c>
      <c r="H69" s="3">
        <v>0.2</v>
      </c>
    </row>
    <row r="70" spans="1:8" ht="12.75">
      <c r="A70" s="7">
        <f t="shared" si="1"/>
        <v>69</v>
      </c>
      <c r="B70" s="2" t="s">
        <v>1793</v>
      </c>
      <c r="C70" s="2" t="s">
        <v>2499</v>
      </c>
      <c r="D70" s="2" t="s">
        <v>35</v>
      </c>
      <c r="E70" s="2" t="s">
        <v>66</v>
      </c>
      <c r="F70" s="2" t="s">
        <v>67</v>
      </c>
      <c r="G70" s="2" t="s">
        <v>68</v>
      </c>
      <c r="H70" s="3">
        <v>0.25</v>
      </c>
    </row>
    <row r="71" spans="1:8" ht="12.75">
      <c r="A71" s="7">
        <f t="shared" si="1"/>
        <v>70</v>
      </c>
      <c r="B71" s="2" t="s">
        <v>1794</v>
      </c>
      <c r="C71" s="2" t="s">
        <v>2499</v>
      </c>
      <c r="D71" s="2" t="s">
        <v>35</v>
      </c>
      <c r="E71" s="2" t="s">
        <v>66</v>
      </c>
      <c r="F71" s="2" t="s">
        <v>67</v>
      </c>
      <c r="G71" s="2" t="s">
        <v>68</v>
      </c>
      <c r="H71" s="3">
        <v>0.25</v>
      </c>
    </row>
    <row r="72" spans="1:8" ht="12.75">
      <c r="A72" s="7">
        <f t="shared" si="1"/>
        <v>71</v>
      </c>
      <c r="B72" s="2" t="s">
        <v>1795</v>
      </c>
      <c r="C72" s="2" t="s">
        <v>2499</v>
      </c>
      <c r="D72" s="2" t="s">
        <v>35</v>
      </c>
      <c r="E72" s="2" t="s">
        <v>66</v>
      </c>
      <c r="F72" s="2" t="s">
        <v>67</v>
      </c>
      <c r="G72" s="2" t="s">
        <v>68</v>
      </c>
      <c r="H72" s="3">
        <v>0.25</v>
      </c>
    </row>
    <row r="73" spans="1:8" ht="12.75">
      <c r="A73" s="7">
        <f t="shared" si="1"/>
        <v>72</v>
      </c>
      <c r="B73" s="2" t="s">
        <v>1796</v>
      </c>
      <c r="C73" s="2" t="s">
        <v>2499</v>
      </c>
      <c r="D73" s="2" t="s">
        <v>35</v>
      </c>
      <c r="E73" s="2" t="s">
        <v>66</v>
      </c>
      <c r="F73" s="2" t="s">
        <v>67</v>
      </c>
      <c r="G73" s="2" t="s">
        <v>68</v>
      </c>
      <c r="H73" s="3">
        <v>0.25</v>
      </c>
    </row>
    <row r="74" spans="1:8" ht="12.75">
      <c r="A74" s="7">
        <f t="shared" si="1"/>
        <v>73</v>
      </c>
      <c r="B74" s="2" t="s">
        <v>1797</v>
      </c>
      <c r="C74" s="2" t="s">
        <v>2499</v>
      </c>
      <c r="D74" s="2" t="s">
        <v>35</v>
      </c>
      <c r="E74" s="2" t="s">
        <v>66</v>
      </c>
      <c r="F74" s="2" t="s">
        <v>67</v>
      </c>
      <c r="G74" s="2" t="s">
        <v>68</v>
      </c>
      <c r="H74" s="3">
        <v>0.25</v>
      </c>
    </row>
    <row r="75" spans="1:8" ht="12.75">
      <c r="A75" s="7">
        <f t="shared" si="1"/>
        <v>74</v>
      </c>
      <c r="B75" s="2" t="s">
        <v>1798</v>
      </c>
      <c r="C75" s="2" t="s">
        <v>2499</v>
      </c>
      <c r="D75" s="2" t="s">
        <v>35</v>
      </c>
      <c r="E75" s="2" t="s">
        <v>66</v>
      </c>
      <c r="F75" s="2" t="s">
        <v>67</v>
      </c>
      <c r="G75" s="2" t="s">
        <v>68</v>
      </c>
      <c r="H75" s="3">
        <v>0.25</v>
      </c>
    </row>
    <row r="76" spans="1:8" ht="12.75">
      <c r="A76" s="7">
        <f t="shared" si="1"/>
        <v>75</v>
      </c>
      <c r="B76" s="2" t="s">
        <v>1799</v>
      </c>
      <c r="C76" s="2" t="s">
        <v>2499</v>
      </c>
      <c r="D76" s="2" t="s">
        <v>35</v>
      </c>
      <c r="E76" s="2" t="s">
        <v>66</v>
      </c>
      <c r="F76" s="2" t="s">
        <v>67</v>
      </c>
      <c r="G76" s="2" t="s">
        <v>68</v>
      </c>
      <c r="H76" s="3">
        <v>0.25</v>
      </c>
    </row>
    <row r="77" spans="1:8" ht="12.75">
      <c r="A77" s="7">
        <f t="shared" si="1"/>
        <v>76</v>
      </c>
      <c r="B77" s="2" t="s">
        <v>1800</v>
      </c>
      <c r="C77" s="2" t="s">
        <v>2499</v>
      </c>
      <c r="D77" s="2" t="s">
        <v>35</v>
      </c>
      <c r="E77" s="2" t="s">
        <v>66</v>
      </c>
      <c r="F77" s="2" t="s">
        <v>67</v>
      </c>
      <c r="G77" s="2" t="s">
        <v>68</v>
      </c>
      <c r="H77" s="3">
        <v>0.25</v>
      </c>
    </row>
    <row r="78" spans="1:8" ht="12.75">
      <c r="A78" s="7">
        <f t="shared" si="1"/>
        <v>77</v>
      </c>
      <c r="B78" s="2" t="s">
        <v>1801</v>
      </c>
      <c r="C78" s="2" t="s">
        <v>2499</v>
      </c>
      <c r="D78" s="2" t="s">
        <v>35</v>
      </c>
      <c r="E78" s="2" t="s">
        <v>66</v>
      </c>
      <c r="F78" s="2" t="s">
        <v>67</v>
      </c>
      <c r="G78" s="2" t="s">
        <v>68</v>
      </c>
      <c r="H78" s="3">
        <v>0.25</v>
      </c>
    </row>
    <row r="79" spans="1:8" ht="12.75">
      <c r="A79" s="7">
        <f t="shared" si="1"/>
        <v>78</v>
      </c>
      <c r="B79" s="2" t="s">
        <v>1802</v>
      </c>
      <c r="C79" s="2" t="s">
        <v>2499</v>
      </c>
      <c r="D79" s="2" t="s">
        <v>35</v>
      </c>
      <c r="E79" s="2" t="s">
        <v>66</v>
      </c>
      <c r="F79" s="2" t="s">
        <v>67</v>
      </c>
      <c r="G79" s="2" t="s">
        <v>68</v>
      </c>
      <c r="H79" s="3">
        <v>0.25</v>
      </c>
    </row>
    <row r="80" spans="1:8" ht="12.75">
      <c r="A80" s="7">
        <f t="shared" si="1"/>
        <v>79</v>
      </c>
      <c r="B80" s="2" t="s">
        <v>1803</v>
      </c>
      <c r="C80" s="2" t="s">
        <v>2499</v>
      </c>
      <c r="D80" s="2" t="s">
        <v>35</v>
      </c>
      <c r="E80" s="2" t="s">
        <v>66</v>
      </c>
      <c r="F80" s="2" t="s">
        <v>67</v>
      </c>
      <c r="G80" s="2" t="s">
        <v>68</v>
      </c>
      <c r="H80" s="3">
        <v>0.25</v>
      </c>
    </row>
    <row r="81" spans="1:8" ht="12.75">
      <c r="A81" s="7">
        <f t="shared" si="1"/>
        <v>80</v>
      </c>
      <c r="B81" s="2" t="s">
        <v>1804</v>
      </c>
      <c r="C81" s="2" t="s">
        <v>2499</v>
      </c>
      <c r="D81" s="2" t="s">
        <v>35</v>
      </c>
      <c r="E81" s="2" t="s">
        <v>66</v>
      </c>
      <c r="F81" s="2" t="s">
        <v>67</v>
      </c>
      <c r="G81" s="2" t="s">
        <v>68</v>
      </c>
      <c r="H81" s="3">
        <v>0.25</v>
      </c>
    </row>
    <row r="82" spans="1:8" ht="12.75">
      <c r="A82" s="7">
        <f t="shared" si="1"/>
        <v>81</v>
      </c>
      <c r="B82" s="2" t="s">
        <v>1805</v>
      </c>
      <c r="C82" s="2" t="s">
        <v>2499</v>
      </c>
      <c r="D82" s="2" t="s">
        <v>35</v>
      </c>
      <c r="E82" s="2" t="s">
        <v>66</v>
      </c>
      <c r="F82" s="2" t="s">
        <v>67</v>
      </c>
      <c r="G82" s="2" t="s">
        <v>68</v>
      </c>
      <c r="H82" s="3">
        <v>0.25</v>
      </c>
    </row>
    <row r="83" spans="1:8" ht="12.75">
      <c r="A83" s="7">
        <f t="shared" si="1"/>
        <v>82</v>
      </c>
      <c r="B83" s="2" t="s">
        <v>1809</v>
      </c>
      <c r="C83" s="2" t="s">
        <v>2499</v>
      </c>
      <c r="D83" s="2" t="s">
        <v>35</v>
      </c>
      <c r="E83" s="2" t="s">
        <v>66</v>
      </c>
      <c r="F83" s="2" t="s">
        <v>67</v>
      </c>
      <c r="G83" s="2" t="s">
        <v>68</v>
      </c>
      <c r="H83" s="3">
        <v>0.25</v>
      </c>
    </row>
    <row r="84" spans="1:8" ht="12.75">
      <c r="A84" s="7">
        <f t="shared" si="1"/>
        <v>83</v>
      </c>
      <c r="B84" s="2" t="s">
        <v>1810</v>
      </c>
      <c r="C84" s="2" t="s">
        <v>2499</v>
      </c>
      <c r="D84" s="2" t="s">
        <v>35</v>
      </c>
      <c r="E84" s="2" t="s">
        <v>66</v>
      </c>
      <c r="F84" s="2" t="s">
        <v>67</v>
      </c>
      <c r="G84" s="2" t="s">
        <v>68</v>
      </c>
      <c r="H84" s="3">
        <v>0.25</v>
      </c>
    </row>
    <row r="85" spans="1:8" ht="12.75">
      <c r="A85" s="7">
        <f t="shared" si="1"/>
        <v>84</v>
      </c>
      <c r="B85" s="2" t="s">
        <v>1811</v>
      </c>
      <c r="C85" s="2" t="s">
        <v>2499</v>
      </c>
      <c r="D85" s="2" t="s">
        <v>35</v>
      </c>
      <c r="E85" s="2" t="s">
        <v>66</v>
      </c>
      <c r="F85" s="2" t="s">
        <v>67</v>
      </c>
      <c r="G85" s="2" t="s">
        <v>68</v>
      </c>
      <c r="H85" s="3">
        <v>0.25</v>
      </c>
    </row>
    <row r="86" spans="1:8" ht="12.75">
      <c r="A86" s="7">
        <f t="shared" si="1"/>
        <v>85</v>
      </c>
      <c r="B86" s="2" t="s">
        <v>1812</v>
      </c>
      <c r="C86" s="2" t="s">
        <v>2499</v>
      </c>
      <c r="D86" s="2" t="s">
        <v>35</v>
      </c>
      <c r="E86" s="2" t="s">
        <v>66</v>
      </c>
      <c r="F86" s="2" t="s">
        <v>67</v>
      </c>
      <c r="G86" s="2" t="s">
        <v>68</v>
      </c>
      <c r="H86" s="3">
        <v>0.25</v>
      </c>
    </row>
    <row r="87" spans="1:8" ht="12.75">
      <c r="A87" s="7">
        <f t="shared" si="1"/>
        <v>86</v>
      </c>
      <c r="B87" s="2" t="s">
        <v>1813</v>
      </c>
      <c r="C87" s="2" t="s">
        <v>2499</v>
      </c>
      <c r="D87" s="2" t="s">
        <v>35</v>
      </c>
      <c r="E87" s="2" t="s">
        <v>66</v>
      </c>
      <c r="F87" s="2" t="s">
        <v>67</v>
      </c>
      <c r="G87" s="2" t="s">
        <v>68</v>
      </c>
      <c r="H87" s="3">
        <v>0.25</v>
      </c>
    </row>
    <row r="88" spans="1:8" ht="12.75">
      <c r="A88" s="7">
        <f t="shared" si="1"/>
        <v>87</v>
      </c>
      <c r="B88" s="2" t="s">
        <v>1814</v>
      </c>
      <c r="C88" s="2" t="s">
        <v>2499</v>
      </c>
      <c r="D88" s="2" t="s">
        <v>35</v>
      </c>
      <c r="E88" s="2" t="s">
        <v>66</v>
      </c>
      <c r="F88" s="2" t="s">
        <v>67</v>
      </c>
      <c r="G88" s="2" t="s">
        <v>68</v>
      </c>
      <c r="H88" s="3">
        <v>0.25</v>
      </c>
    </row>
    <row r="89" spans="1:8" ht="12.75">
      <c r="A89" s="7">
        <f t="shared" si="1"/>
        <v>88</v>
      </c>
      <c r="B89" s="2" t="s">
        <v>1815</v>
      </c>
      <c r="C89" s="2" t="s">
        <v>2499</v>
      </c>
      <c r="D89" s="2" t="s">
        <v>35</v>
      </c>
      <c r="E89" s="2" t="s">
        <v>66</v>
      </c>
      <c r="F89" s="2" t="s">
        <v>67</v>
      </c>
      <c r="G89" s="2" t="s">
        <v>68</v>
      </c>
      <c r="H89" s="3">
        <v>0.25</v>
      </c>
    </row>
    <row r="90" spans="1:8" ht="12.75">
      <c r="A90" s="7">
        <f t="shared" si="1"/>
        <v>89</v>
      </c>
      <c r="B90" s="2" t="s">
        <v>1816</v>
      </c>
      <c r="C90" s="2" t="s">
        <v>2499</v>
      </c>
      <c r="D90" s="2" t="s">
        <v>35</v>
      </c>
      <c r="E90" s="2" t="s">
        <v>66</v>
      </c>
      <c r="F90" s="2" t="s">
        <v>67</v>
      </c>
      <c r="G90" s="2" t="s">
        <v>68</v>
      </c>
      <c r="H90" s="3">
        <v>0.25</v>
      </c>
    </row>
    <row r="91" spans="1:8" ht="12.75">
      <c r="A91" s="7">
        <f t="shared" si="1"/>
        <v>90</v>
      </c>
      <c r="B91" s="2" t="s">
        <v>1817</v>
      </c>
      <c r="C91" s="2" t="s">
        <v>2499</v>
      </c>
      <c r="D91" s="2" t="s">
        <v>35</v>
      </c>
      <c r="E91" s="2" t="s">
        <v>66</v>
      </c>
      <c r="F91" s="2" t="s">
        <v>67</v>
      </c>
      <c r="G91" s="2" t="s">
        <v>68</v>
      </c>
      <c r="H91" s="3">
        <v>0.25</v>
      </c>
    </row>
    <row r="92" spans="1:8" ht="12.75">
      <c r="A92" s="7">
        <f t="shared" si="1"/>
        <v>91</v>
      </c>
      <c r="B92" s="2" t="s">
        <v>1818</v>
      </c>
      <c r="C92" s="2" t="s">
        <v>2499</v>
      </c>
      <c r="D92" s="2" t="s">
        <v>35</v>
      </c>
      <c r="E92" s="2" t="s">
        <v>66</v>
      </c>
      <c r="F92" s="2" t="s">
        <v>67</v>
      </c>
      <c r="G92" s="2" t="s">
        <v>68</v>
      </c>
      <c r="H92" s="3">
        <v>0.25</v>
      </c>
    </row>
    <row r="93" spans="1:8" ht="12.75">
      <c r="A93" s="7">
        <f t="shared" si="1"/>
        <v>92</v>
      </c>
      <c r="B93" s="2" t="s">
        <v>1819</v>
      </c>
      <c r="C93" s="2" t="s">
        <v>2499</v>
      </c>
      <c r="D93" s="2" t="s">
        <v>35</v>
      </c>
      <c r="E93" s="2" t="s">
        <v>66</v>
      </c>
      <c r="F93" s="2" t="s">
        <v>67</v>
      </c>
      <c r="G93" s="2" t="s">
        <v>68</v>
      </c>
      <c r="H93" s="3">
        <v>0.25</v>
      </c>
    </row>
    <row r="94" spans="1:8" ht="12.75">
      <c r="A94" s="7">
        <f t="shared" si="1"/>
        <v>93</v>
      </c>
      <c r="B94" s="2" t="s">
        <v>1820</v>
      </c>
      <c r="C94" s="2" t="s">
        <v>2499</v>
      </c>
      <c r="D94" s="2" t="s">
        <v>35</v>
      </c>
      <c r="E94" s="2" t="s">
        <v>66</v>
      </c>
      <c r="F94" s="2" t="s">
        <v>67</v>
      </c>
      <c r="G94" s="2" t="s">
        <v>68</v>
      </c>
      <c r="H94" s="3">
        <v>0.25</v>
      </c>
    </row>
    <row r="95" spans="1:8" ht="12.75">
      <c r="A95" s="7">
        <f t="shared" si="1"/>
        <v>94</v>
      </c>
      <c r="B95" s="2" t="s">
        <v>1821</v>
      </c>
      <c r="C95" s="2" t="s">
        <v>2499</v>
      </c>
      <c r="D95" s="2" t="s">
        <v>69</v>
      </c>
      <c r="E95" s="2" t="s">
        <v>70</v>
      </c>
      <c r="F95" s="2" t="s">
        <v>71</v>
      </c>
      <c r="G95" s="2" t="s">
        <v>72</v>
      </c>
      <c r="H95" s="3">
        <v>0.3</v>
      </c>
    </row>
    <row r="96" spans="1:8" ht="12.75">
      <c r="A96" s="7">
        <f t="shared" si="1"/>
        <v>95</v>
      </c>
      <c r="B96" s="2" t="s">
        <v>1822</v>
      </c>
      <c r="C96" s="2" t="s">
        <v>2499</v>
      </c>
      <c r="D96" s="2" t="s">
        <v>69</v>
      </c>
      <c r="E96" s="2" t="s">
        <v>70</v>
      </c>
      <c r="F96" s="2" t="s">
        <v>71</v>
      </c>
      <c r="G96" s="2" t="s">
        <v>72</v>
      </c>
      <c r="H96" s="3">
        <v>0.3</v>
      </c>
    </row>
    <row r="97" spans="1:8" ht="12.75">
      <c r="A97" s="7">
        <f t="shared" si="1"/>
        <v>96</v>
      </c>
      <c r="B97" s="2" t="s">
        <v>1823</v>
      </c>
      <c r="C97" s="2" t="s">
        <v>2499</v>
      </c>
      <c r="D97" s="2" t="s">
        <v>69</v>
      </c>
      <c r="E97" s="2" t="s">
        <v>70</v>
      </c>
      <c r="F97" s="2" t="s">
        <v>71</v>
      </c>
      <c r="G97" s="2" t="s">
        <v>72</v>
      </c>
      <c r="H97" s="3">
        <v>0.3</v>
      </c>
    </row>
    <row r="98" spans="1:8" ht="12.75">
      <c r="A98" s="7">
        <f t="shared" si="1"/>
        <v>97</v>
      </c>
      <c r="B98" s="2" t="s">
        <v>1824</v>
      </c>
      <c r="C98" s="2" t="s">
        <v>2499</v>
      </c>
      <c r="D98" s="2" t="s">
        <v>69</v>
      </c>
      <c r="E98" s="2" t="s">
        <v>70</v>
      </c>
      <c r="F98" s="2" t="s">
        <v>71</v>
      </c>
      <c r="G98" s="2" t="s">
        <v>72</v>
      </c>
      <c r="H98" s="3">
        <v>0.3</v>
      </c>
    </row>
    <row r="99" spans="1:8" ht="12.75">
      <c r="A99" s="7">
        <f t="shared" si="1"/>
        <v>98</v>
      </c>
      <c r="B99" s="2" t="s">
        <v>1825</v>
      </c>
      <c r="C99" s="2" t="s">
        <v>2499</v>
      </c>
      <c r="D99" s="2" t="s">
        <v>69</v>
      </c>
      <c r="E99" s="2" t="s">
        <v>70</v>
      </c>
      <c r="F99" s="2" t="s">
        <v>71</v>
      </c>
      <c r="G99" s="2" t="s">
        <v>72</v>
      </c>
      <c r="H99" s="3">
        <v>0.3</v>
      </c>
    </row>
    <row r="100" spans="1:8" ht="12.75">
      <c r="A100" s="7">
        <f t="shared" si="1"/>
        <v>99</v>
      </c>
      <c r="B100" s="2" t="s">
        <v>1826</v>
      </c>
      <c r="C100" s="2" t="s">
        <v>2499</v>
      </c>
      <c r="D100" s="2" t="s">
        <v>69</v>
      </c>
      <c r="E100" s="2" t="s">
        <v>70</v>
      </c>
      <c r="F100" s="2" t="s">
        <v>71</v>
      </c>
      <c r="G100" s="2" t="s">
        <v>72</v>
      </c>
      <c r="H100" s="3">
        <v>0.3</v>
      </c>
    </row>
    <row r="101" spans="1:8" ht="12.75">
      <c r="A101" s="7">
        <f t="shared" si="1"/>
        <v>100</v>
      </c>
      <c r="B101" s="2" t="s">
        <v>1827</v>
      </c>
      <c r="C101" s="2" t="s">
        <v>2499</v>
      </c>
      <c r="D101" s="2" t="s">
        <v>69</v>
      </c>
      <c r="E101" s="2" t="s">
        <v>70</v>
      </c>
      <c r="F101" s="2" t="s">
        <v>71</v>
      </c>
      <c r="G101" s="2" t="s">
        <v>72</v>
      </c>
      <c r="H101" s="3">
        <v>0.3</v>
      </c>
    </row>
    <row r="102" spans="1:8" ht="12.75">
      <c r="A102" s="7">
        <f t="shared" si="1"/>
        <v>101</v>
      </c>
      <c r="B102" s="2" t="s">
        <v>1828</v>
      </c>
      <c r="C102" s="2" t="s">
        <v>2499</v>
      </c>
      <c r="D102" s="2" t="s">
        <v>69</v>
      </c>
      <c r="E102" s="2" t="s">
        <v>70</v>
      </c>
      <c r="F102" s="2" t="s">
        <v>71</v>
      </c>
      <c r="G102" s="2" t="s">
        <v>72</v>
      </c>
      <c r="H102" s="3">
        <v>0.3</v>
      </c>
    </row>
    <row r="103" spans="1:8" ht="12.75">
      <c r="A103" s="7">
        <f t="shared" si="1"/>
        <v>102</v>
      </c>
      <c r="B103" s="2" t="s">
        <v>1829</v>
      </c>
      <c r="C103" s="2" t="s">
        <v>2499</v>
      </c>
      <c r="D103" s="2" t="s">
        <v>69</v>
      </c>
      <c r="E103" s="2" t="s">
        <v>70</v>
      </c>
      <c r="F103" s="2" t="s">
        <v>71</v>
      </c>
      <c r="G103" s="2" t="s">
        <v>72</v>
      </c>
      <c r="H103" s="3">
        <v>0.3</v>
      </c>
    </row>
    <row r="104" spans="1:8" ht="12.75">
      <c r="A104" s="7">
        <f t="shared" si="1"/>
        <v>103</v>
      </c>
      <c r="B104" s="2" t="s">
        <v>1830</v>
      </c>
      <c r="C104" s="2" t="s">
        <v>2499</v>
      </c>
      <c r="D104" s="2" t="s">
        <v>69</v>
      </c>
      <c r="E104" s="2" t="s">
        <v>70</v>
      </c>
      <c r="F104" s="2" t="s">
        <v>71</v>
      </c>
      <c r="G104" s="2" t="s">
        <v>72</v>
      </c>
      <c r="H104" s="3">
        <v>0.3</v>
      </c>
    </row>
    <row r="105" spans="1:8" ht="12.75">
      <c r="A105" s="7">
        <f t="shared" si="1"/>
        <v>104</v>
      </c>
      <c r="B105" s="2" t="s">
        <v>1831</v>
      </c>
      <c r="C105" s="2" t="s">
        <v>2499</v>
      </c>
      <c r="D105" s="2" t="s">
        <v>69</v>
      </c>
      <c r="E105" s="2" t="s">
        <v>70</v>
      </c>
      <c r="F105" s="2" t="s">
        <v>71</v>
      </c>
      <c r="G105" s="2" t="s">
        <v>72</v>
      </c>
      <c r="H105" s="3">
        <v>0.3</v>
      </c>
    </row>
    <row r="106" spans="1:8" ht="12.75">
      <c r="A106" s="7">
        <f t="shared" si="1"/>
        <v>105</v>
      </c>
      <c r="B106" s="2" t="s">
        <v>1832</v>
      </c>
      <c r="C106" s="2" t="s">
        <v>2499</v>
      </c>
      <c r="D106" s="2" t="s">
        <v>69</v>
      </c>
      <c r="E106" s="2" t="s">
        <v>70</v>
      </c>
      <c r="F106" s="2" t="s">
        <v>71</v>
      </c>
      <c r="G106" s="2" t="s">
        <v>72</v>
      </c>
      <c r="H106" s="3">
        <v>0.3</v>
      </c>
    </row>
    <row r="107" spans="1:8" ht="12.75">
      <c r="A107" s="7">
        <f t="shared" si="1"/>
        <v>106</v>
      </c>
      <c r="B107" s="2" t="s">
        <v>1833</v>
      </c>
      <c r="C107" s="2" t="s">
        <v>2499</v>
      </c>
      <c r="D107" s="2" t="s">
        <v>69</v>
      </c>
      <c r="E107" s="2" t="s">
        <v>70</v>
      </c>
      <c r="F107" s="2" t="s">
        <v>71</v>
      </c>
      <c r="G107" s="2" t="s">
        <v>72</v>
      </c>
      <c r="H107" s="3">
        <v>0.3</v>
      </c>
    </row>
    <row r="108" spans="1:8" ht="12.75">
      <c r="A108" s="7">
        <f t="shared" si="1"/>
        <v>107</v>
      </c>
      <c r="B108" s="2" t="s">
        <v>1834</v>
      </c>
      <c r="C108" s="2" t="s">
        <v>2499</v>
      </c>
      <c r="D108" s="2" t="s">
        <v>69</v>
      </c>
      <c r="E108" s="2" t="s">
        <v>70</v>
      </c>
      <c r="F108" s="2" t="s">
        <v>71</v>
      </c>
      <c r="G108" s="2" t="s">
        <v>72</v>
      </c>
      <c r="H108" s="3">
        <v>0.3</v>
      </c>
    </row>
    <row r="109" spans="1:8" ht="12.75">
      <c r="A109" s="7">
        <f t="shared" si="1"/>
        <v>108</v>
      </c>
      <c r="B109" s="2" t="s">
        <v>1835</v>
      </c>
      <c r="C109" s="2" t="s">
        <v>2499</v>
      </c>
      <c r="D109" s="2" t="s">
        <v>69</v>
      </c>
      <c r="E109" s="2" t="s">
        <v>70</v>
      </c>
      <c r="F109" s="2" t="s">
        <v>71</v>
      </c>
      <c r="G109" s="2" t="s">
        <v>72</v>
      </c>
      <c r="H109" s="3">
        <v>0.3</v>
      </c>
    </row>
    <row r="110" spans="1:8" ht="12.75">
      <c r="A110" s="7">
        <f t="shared" si="1"/>
        <v>109</v>
      </c>
      <c r="B110" s="2" t="s">
        <v>1836</v>
      </c>
      <c r="C110" s="2" t="s">
        <v>2499</v>
      </c>
      <c r="D110" s="2" t="s">
        <v>73</v>
      </c>
      <c r="E110" s="2" t="s">
        <v>74</v>
      </c>
      <c r="F110" s="2" t="s">
        <v>75</v>
      </c>
      <c r="G110" s="2" t="s">
        <v>76</v>
      </c>
      <c r="H110" s="3">
        <v>0.35</v>
      </c>
    </row>
    <row r="111" spans="1:8" ht="12.75">
      <c r="A111" s="7">
        <f t="shared" si="1"/>
        <v>110</v>
      </c>
      <c r="B111" s="2" t="s">
        <v>1837</v>
      </c>
      <c r="C111" s="2" t="s">
        <v>2499</v>
      </c>
      <c r="D111" s="2" t="s">
        <v>73</v>
      </c>
      <c r="E111" s="2" t="s">
        <v>74</v>
      </c>
      <c r="F111" s="2" t="s">
        <v>75</v>
      </c>
      <c r="G111" s="2" t="s">
        <v>76</v>
      </c>
      <c r="H111" s="3">
        <v>0.35</v>
      </c>
    </row>
    <row r="112" spans="1:8" ht="12.75">
      <c r="A112" s="7">
        <f t="shared" si="1"/>
        <v>111</v>
      </c>
      <c r="B112" s="2" t="s">
        <v>1838</v>
      </c>
      <c r="C112" s="2" t="s">
        <v>2499</v>
      </c>
      <c r="D112" s="2" t="s">
        <v>73</v>
      </c>
      <c r="E112" s="2" t="s">
        <v>74</v>
      </c>
      <c r="F112" s="2" t="s">
        <v>75</v>
      </c>
      <c r="G112" s="2" t="s">
        <v>76</v>
      </c>
      <c r="H112" s="3">
        <v>0.35</v>
      </c>
    </row>
    <row r="113" spans="1:8" ht="12.75">
      <c r="A113" s="7">
        <f t="shared" si="1"/>
        <v>112</v>
      </c>
      <c r="B113" s="2" t="s">
        <v>1839</v>
      </c>
      <c r="C113" s="2" t="s">
        <v>2499</v>
      </c>
      <c r="D113" s="2" t="s">
        <v>73</v>
      </c>
      <c r="E113" s="2" t="s">
        <v>74</v>
      </c>
      <c r="F113" s="2" t="s">
        <v>75</v>
      </c>
      <c r="G113" s="2" t="s">
        <v>76</v>
      </c>
      <c r="H113" s="3">
        <v>0.35</v>
      </c>
    </row>
    <row r="114" spans="1:8" ht="12.75">
      <c r="A114" s="7">
        <f t="shared" si="1"/>
        <v>113</v>
      </c>
      <c r="B114" s="2" t="s">
        <v>1840</v>
      </c>
      <c r="C114" s="2" t="s">
        <v>2499</v>
      </c>
      <c r="D114" s="2" t="s">
        <v>73</v>
      </c>
      <c r="E114" s="2" t="s">
        <v>74</v>
      </c>
      <c r="F114" s="2" t="s">
        <v>75</v>
      </c>
      <c r="G114" s="2" t="s">
        <v>76</v>
      </c>
      <c r="H114" s="3">
        <v>0.35</v>
      </c>
    </row>
    <row r="115" spans="1:8" ht="12.75">
      <c r="A115" s="7">
        <f t="shared" si="1"/>
        <v>114</v>
      </c>
      <c r="B115" s="2" t="s">
        <v>1841</v>
      </c>
      <c r="C115" s="2" t="s">
        <v>2499</v>
      </c>
      <c r="D115" s="2" t="s">
        <v>73</v>
      </c>
      <c r="E115" s="2" t="s">
        <v>74</v>
      </c>
      <c r="F115" s="2" t="s">
        <v>75</v>
      </c>
      <c r="G115" s="2" t="s">
        <v>76</v>
      </c>
      <c r="H115" s="3">
        <v>0.35</v>
      </c>
    </row>
    <row r="116" spans="1:8" ht="12.75">
      <c r="A116" s="7">
        <f t="shared" si="1"/>
        <v>115</v>
      </c>
      <c r="B116" s="2" t="s">
        <v>1843</v>
      </c>
      <c r="C116" s="2" t="s">
        <v>2499</v>
      </c>
      <c r="D116" s="2" t="s">
        <v>73</v>
      </c>
      <c r="E116" s="2" t="s">
        <v>74</v>
      </c>
      <c r="F116" s="2" t="s">
        <v>75</v>
      </c>
      <c r="G116" s="2" t="s">
        <v>76</v>
      </c>
      <c r="H116" s="3">
        <v>0.35</v>
      </c>
    </row>
    <row r="117" spans="1:8" ht="12.75">
      <c r="A117" s="7">
        <f t="shared" si="1"/>
        <v>116</v>
      </c>
      <c r="B117" s="2" t="s">
        <v>1844</v>
      </c>
      <c r="C117" s="2" t="s">
        <v>2499</v>
      </c>
      <c r="D117" s="2" t="s">
        <v>73</v>
      </c>
      <c r="E117" s="2" t="s">
        <v>74</v>
      </c>
      <c r="F117" s="2" t="s">
        <v>75</v>
      </c>
      <c r="G117" s="2" t="s">
        <v>76</v>
      </c>
      <c r="H117" s="3">
        <v>0.35</v>
      </c>
    </row>
    <row r="118" spans="1:8" ht="12.75">
      <c r="A118" s="7">
        <f t="shared" si="1"/>
        <v>117</v>
      </c>
      <c r="B118" s="2" t="s">
        <v>1845</v>
      </c>
      <c r="C118" s="2" t="s">
        <v>2499</v>
      </c>
      <c r="D118" s="2" t="s">
        <v>73</v>
      </c>
      <c r="E118" s="2" t="s">
        <v>74</v>
      </c>
      <c r="F118" s="2" t="s">
        <v>75</v>
      </c>
      <c r="G118" s="2" t="s">
        <v>76</v>
      </c>
      <c r="H118" s="3">
        <v>0.35</v>
      </c>
    </row>
    <row r="119" spans="1:8" ht="12.75">
      <c r="A119" s="7">
        <f t="shared" si="1"/>
        <v>118</v>
      </c>
      <c r="B119" s="2" t="s">
        <v>1846</v>
      </c>
      <c r="C119" s="2" t="s">
        <v>35</v>
      </c>
      <c r="D119" s="2" t="s">
        <v>77</v>
      </c>
      <c r="E119" s="2" t="s">
        <v>78</v>
      </c>
      <c r="F119" s="2" t="s">
        <v>79</v>
      </c>
      <c r="G119" s="2" t="s">
        <v>80</v>
      </c>
      <c r="H119" s="3">
        <v>0.4</v>
      </c>
    </row>
    <row r="120" spans="1:9" ht="12.75">
      <c r="A120" s="7">
        <f t="shared" si="1"/>
        <v>119</v>
      </c>
      <c r="B120" s="1">
        <v>19</v>
      </c>
      <c r="C120" s="2" t="s">
        <v>35</v>
      </c>
      <c r="D120" s="2" t="s">
        <v>81</v>
      </c>
      <c r="E120" s="2" t="s">
        <v>88</v>
      </c>
      <c r="F120" s="2" t="s">
        <v>95</v>
      </c>
      <c r="G120" s="2" t="s">
        <v>102</v>
      </c>
      <c r="H120" s="3">
        <v>0.5</v>
      </c>
      <c r="I120" s="2" t="s">
        <v>109</v>
      </c>
    </row>
    <row r="121" spans="1:9" ht="12.75">
      <c r="A121" s="7">
        <f t="shared" si="1"/>
        <v>120</v>
      </c>
      <c r="B121" s="1">
        <v>20</v>
      </c>
      <c r="C121" s="2" t="s">
        <v>35</v>
      </c>
      <c r="D121" s="2" t="s">
        <v>82</v>
      </c>
      <c r="E121" s="2" t="s">
        <v>89</v>
      </c>
      <c r="F121" s="2" t="s">
        <v>96</v>
      </c>
      <c r="G121" s="2" t="s">
        <v>103</v>
      </c>
      <c r="H121" s="3">
        <v>0.6</v>
      </c>
      <c r="I121" s="2" t="s">
        <v>110</v>
      </c>
    </row>
    <row r="122" spans="1:9" ht="12.75">
      <c r="A122" s="7">
        <f t="shared" si="1"/>
        <v>121</v>
      </c>
      <c r="B122" s="1">
        <v>21</v>
      </c>
      <c r="C122" s="2" t="s">
        <v>69</v>
      </c>
      <c r="D122" s="2" t="s">
        <v>83</v>
      </c>
      <c r="E122" s="2" t="s">
        <v>90</v>
      </c>
      <c r="F122" s="2" t="s">
        <v>97</v>
      </c>
      <c r="G122" s="2" t="s">
        <v>104</v>
      </c>
      <c r="H122" s="3">
        <v>0.7</v>
      </c>
      <c r="I122" s="2" t="s">
        <v>111</v>
      </c>
    </row>
    <row r="123" spans="1:9" ht="12.75">
      <c r="A123" s="7">
        <f t="shared" si="1"/>
        <v>122</v>
      </c>
      <c r="B123" s="1">
        <v>22</v>
      </c>
      <c r="C123" s="2" t="s">
        <v>69</v>
      </c>
      <c r="D123" s="2" t="s">
        <v>84</v>
      </c>
      <c r="E123" s="2" t="s">
        <v>91</v>
      </c>
      <c r="F123" s="2" t="s">
        <v>98</v>
      </c>
      <c r="G123" s="2" t="s">
        <v>105</v>
      </c>
      <c r="H123" s="3">
        <v>0.8</v>
      </c>
      <c r="I123" s="2" t="s">
        <v>112</v>
      </c>
    </row>
    <row r="124" spans="1:9" ht="12.75">
      <c r="A124" s="7">
        <f t="shared" si="1"/>
        <v>123</v>
      </c>
      <c r="B124" s="1">
        <v>23</v>
      </c>
      <c r="C124" s="2" t="s">
        <v>73</v>
      </c>
      <c r="D124" s="2" t="s">
        <v>85</v>
      </c>
      <c r="E124" s="2" t="s">
        <v>92</v>
      </c>
      <c r="F124" s="2" t="s">
        <v>99</v>
      </c>
      <c r="G124" s="2" t="s">
        <v>106</v>
      </c>
      <c r="H124" s="3">
        <v>0.9</v>
      </c>
      <c r="I124" s="2" t="s">
        <v>113</v>
      </c>
    </row>
    <row r="125" spans="1:9" ht="12.75">
      <c r="A125" s="7">
        <f t="shared" si="1"/>
        <v>124</v>
      </c>
      <c r="B125" s="1">
        <v>24</v>
      </c>
      <c r="C125" s="2" t="s">
        <v>77</v>
      </c>
      <c r="D125" s="2" t="s">
        <v>86</v>
      </c>
      <c r="E125" s="2" t="s">
        <v>93</v>
      </c>
      <c r="F125" s="2" t="s">
        <v>100</v>
      </c>
      <c r="G125" s="2" t="s">
        <v>107</v>
      </c>
      <c r="H125" s="3">
        <v>0.95</v>
      </c>
      <c r="I125" s="2" t="s">
        <v>110</v>
      </c>
    </row>
    <row r="126" spans="1:9" ht="12.75">
      <c r="A126" s="7">
        <f t="shared" si="1"/>
        <v>125</v>
      </c>
      <c r="B126" s="1">
        <v>25</v>
      </c>
      <c r="C126" s="2" t="s">
        <v>81</v>
      </c>
      <c r="D126" s="2" t="s">
        <v>87</v>
      </c>
      <c r="E126" s="2" t="s">
        <v>94</v>
      </c>
      <c r="F126" s="2" t="s">
        <v>101</v>
      </c>
      <c r="G126" s="2" t="s">
        <v>108</v>
      </c>
      <c r="H126" s="3">
        <v>0.99</v>
      </c>
      <c r="I126" s="2" t="s">
        <v>114</v>
      </c>
    </row>
    <row r="127" ht="12.75">
      <c r="H127" s="3"/>
    </row>
    <row r="128" ht="12.75">
      <c r="H128" s="3"/>
    </row>
    <row r="129" ht="12.75">
      <c r="H129" s="3"/>
    </row>
    <row r="130" ht="12.75">
      <c r="H130" s="3"/>
    </row>
    <row r="131" ht="12.75">
      <c r="H131" s="3"/>
    </row>
    <row r="132" ht="12.75">
      <c r="H132" s="3"/>
    </row>
    <row r="133" ht="12.75">
      <c r="H133" s="3"/>
    </row>
    <row r="134" ht="12.75">
      <c r="H134" s="3"/>
    </row>
    <row r="135" ht="12.75">
      <c r="H135" s="3"/>
    </row>
    <row r="136" ht="12.75">
      <c r="H136" s="3"/>
    </row>
    <row r="137" ht="12.75">
      <c r="H137" s="3"/>
    </row>
    <row r="138" ht="12.75">
      <c r="H138" s="3"/>
    </row>
    <row r="139" ht="12.75">
      <c r="H139" s="3"/>
    </row>
    <row r="140" ht="12.75">
      <c r="H140" s="3"/>
    </row>
    <row r="141" ht="12.75">
      <c r="H141" s="3"/>
    </row>
    <row r="142" ht="12.75">
      <c r="H142" s="3"/>
    </row>
    <row r="143" ht="12.75">
      <c r="H143" s="3"/>
    </row>
    <row r="144" ht="12.75">
      <c r="H144" s="3"/>
    </row>
    <row r="145" ht="12.75">
      <c r="H145" s="3"/>
    </row>
    <row r="146" ht="12.75">
      <c r="H146" s="3"/>
    </row>
    <row r="147" ht="12.75">
      <c r="H147" s="3"/>
    </row>
    <row r="148" ht="12.75">
      <c r="H148" s="3"/>
    </row>
    <row r="149" ht="12.75">
      <c r="H149" s="3"/>
    </row>
    <row r="150" ht="12.75">
      <c r="H150" s="3"/>
    </row>
    <row r="151" ht="12.75">
      <c r="H151" s="3"/>
    </row>
    <row r="152" ht="12.75">
      <c r="H152" s="3"/>
    </row>
    <row r="153" ht="12.75">
      <c r="H153" s="3"/>
    </row>
    <row r="154" ht="12.75">
      <c r="H154" s="3"/>
    </row>
    <row r="155" ht="12.75">
      <c r="H155" s="3"/>
    </row>
    <row r="156" ht="12.75">
      <c r="H156" s="3"/>
    </row>
    <row r="157" ht="12.75">
      <c r="H157" s="3"/>
    </row>
    <row r="158" ht="12.75">
      <c r="H158" s="3"/>
    </row>
    <row r="159" ht="12.75">
      <c r="H159" s="3"/>
    </row>
    <row r="160" ht="12.75">
      <c r="H160" s="3"/>
    </row>
    <row r="161" ht="12.75">
      <c r="H161" s="3"/>
    </row>
    <row r="162" ht="12.75">
      <c r="H162" s="3"/>
    </row>
    <row r="163" ht="12.75">
      <c r="H163" s="3"/>
    </row>
    <row r="164" ht="12.75">
      <c r="H164" s="3"/>
    </row>
    <row r="165" ht="12.75">
      <c r="H165" s="3"/>
    </row>
    <row r="166" ht="12.75">
      <c r="H166" s="3"/>
    </row>
    <row r="167" ht="12.75">
      <c r="H167" s="3"/>
    </row>
    <row r="168" ht="12.75">
      <c r="H168" s="3"/>
    </row>
    <row r="169" ht="12.75">
      <c r="H169" s="3"/>
    </row>
    <row r="170" ht="12.75">
      <c r="H170" s="3"/>
    </row>
    <row r="171" ht="12.75">
      <c r="H171" s="3"/>
    </row>
    <row r="172" ht="12.75">
      <c r="H172" s="3"/>
    </row>
    <row r="173" ht="12.75">
      <c r="H173" s="3"/>
    </row>
    <row r="174" ht="12.75">
      <c r="H174" s="3"/>
    </row>
    <row r="175" ht="12.75">
      <c r="H175" s="3"/>
    </row>
    <row r="176" ht="12.75">
      <c r="H176" s="3"/>
    </row>
    <row r="177" ht="12.75">
      <c r="H177" s="3"/>
    </row>
    <row r="178" ht="12.75">
      <c r="H178" s="3"/>
    </row>
    <row r="179" ht="12.75">
      <c r="H179" s="3"/>
    </row>
    <row r="180" ht="12.75">
      <c r="H180" s="3"/>
    </row>
    <row r="181" ht="12.75">
      <c r="H181" s="3"/>
    </row>
    <row r="182" ht="12.75">
      <c r="H182" s="3"/>
    </row>
    <row r="183" ht="12.75">
      <c r="H183" s="3"/>
    </row>
    <row r="184" ht="12.75">
      <c r="H184" s="3"/>
    </row>
    <row r="185" ht="12.75">
      <c r="H185" s="3"/>
    </row>
    <row r="186" ht="12.75">
      <c r="H186" s="3"/>
    </row>
    <row r="187" ht="12.75">
      <c r="H187" s="3"/>
    </row>
    <row r="188" ht="12.75">
      <c r="H188" s="3"/>
    </row>
    <row r="189" ht="12.75">
      <c r="H189" s="3"/>
    </row>
    <row r="190" ht="12.75">
      <c r="H190" s="3"/>
    </row>
    <row r="191" ht="12.75">
      <c r="H191" s="3"/>
    </row>
    <row r="192" ht="12.75">
      <c r="H192" s="3"/>
    </row>
    <row r="193" ht="12.75">
      <c r="H193" s="3"/>
    </row>
    <row r="194" ht="12.75">
      <c r="H194" s="3"/>
    </row>
    <row r="195" ht="12.75">
      <c r="H195" s="3"/>
    </row>
    <row r="196" ht="12.75">
      <c r="H196" s="3"/>
    </row>
    <row r="197" ht="12.75">
      <c r="H197" s="3"/>
    </row>
    <row r="198" ht="12.75">
      <c r="H198" s="3"/>
    </row>
    <row r="199" ht="12.75">
      <c r="H199" s="3"/>
    </row>
    <row r="200" ht="12.75">
      <c r="H200" s="3"/>
    </row>
    <row r="201" ht="12.75">
      <c r="H201" s="3"/>
    </row>
    <row r="202" ht="12.75">
      <c r="H202" s="3"/>
    </row>
    <row r="203" ht="12.75">
      <c r="H203" s="3"/>
    </row>
    <row r="204" ht="12.75">
      <c r="H204" s="3"/>
    </row>
    <row r="205" ht="12.75">
      <c r="H205" s="3"/>
    </row>
    <row r="206" ht="12.75">
      <c r="H206" s="3"/>
    </row>
    <row r="207" ht="12.75">
      <c r="H207" s="3"/>
    </row>
    <row r="208" ht="12.75">
      <c r="H208" s="3"/>
    </row>
    <row r="209" ht="12.75">
      <c r="H209" s="3"/>
    </row>
    <row r="210" ht="12.75">
      <c r="H210" s="3"/>
    </row>
    <row r="211" ht="12.75">
      <c r="H211" s="3"/>
    </row>
    <row r="212" ht="12.75">
      <c r="H212" s="3"/>
    </row>
    <row r="213" ht="12.75">
      <c r="H213" s="3"/>
    </row>
    <row r="214" ht="12.75">
      <c r="H214" s="3"/>
    </row>
    <row r="215" ht="12.75">
      <c r="H215" s="3"/>
    </row>
    <row r="216" ht="12.75">
      <c r="H216" s="3"/>
    </row>
    <row r="217" ht="12.75">
      <c r="H217" s="3"/>
    </row>
    <row r="218" ht="12.75">
      <c r="H218" s="3"/>
    </row>
    <row r="219" ht="12.75">
      <c r="H219" s="3"/>
    </row>
    <row r="220" ht="12.75">
      <c r="H220" s="3"/>
    </row>
    <row r="221" ht="12.75">
      <c r="H221" s="3"/>
    </row>
    <row r="222" ht="12.75">
      <c r="H222" s="3"/>
    </row>
    <row r="223" ht="12.75">
      <c r="H223" s="3"/>
    </row>
    <row r="224" ht="12.75">
      <c r="H224" s="3"/>
    </row>
    <row r="225" ht="12.75">
      <c r="H225" s="3"/>
    </row>
    <row r="226" ht="12.75">
      <c r="H226" s="3"/>
    </row>
    <row r="227" ht="12.75">
      <c r="H227" s="3"/>
    </row>
    <row r="228" ht="12.75">
      <c r="H228" s="3"/>
    </row>
    <row r="229" ht="12.75">
      <c r="H229" s="3"/>
    </row>
    <row r="230" ht="12.75">
      <c r="H230" s="3"/>
    </row>
    <row r="231" ht="12.75">
      <c r="H231" s="3"/>
    </row>
    <row r="232" ht="12.75">
      <c r="H232" s="3"/>
    </row>
    <row r="233" ht="12.75">
      <c r="H233" s="3"/>
    </row>
    <row r="234" ht="12.75">
      <c r="H234" s="3"/>
    </row>
    <row r="235" ht="12.75">
      <c r="H235" s="3"/>
    </row>
    <row r="236" ht="12.75">
      <c r="H236" s="3"/>
    </row>
    <row r="237" ht="12.75">
      <c r="H237" s="3"/>
    </row>
    <row r="238" ht="12.75">
      <c r="H238" s="3"/>
    </row>
    <row r="239" ht="12.75">
      <c r="H239" s="3"/>
    </row>
    <row r="240" ht="12.75">
      <c r="H240" s="3"/>
    </row>
    <row r="241" ht="12.75">
      <c r="H241" s="3"/>
    </row>
    <row r="242" ht="12.75">
      <c r="H242" s="3"/>
    </row>
    <row r="243" ht="12.75">
      <c r="H243" s="3"/>
    </row>
    <row r="244" ht="12.75">
      <c r="H244" s="3"/>
    </row>
    <row r="245" ht="12.75">
      <c r="H245" s="3"/>
    </row>
    <row r="246" ht="12.75">
      <c r="H246" s="3"/>
    </row>
    <row r="247" ht="12.75">
      <c r="H247" s="3"/>
    </row>
    <row r="248" ht="12.75">
      <c r="H248" s="3"/>
    </row>
    <row r="249" ht="12.75">
      <c r="H249" s="3"/>
    </row>
    <row r="250" ht="12.75">
      <c r="H250" s="3"/>
    </row>
    <row r="251" ht="12.75">
      <c r="H251" s="3"/>
    </row>
    <row r="252" ht="12.75">
      <c r="H252" s="3"/>
    </row>
    <row r="253" ht="12.75">
      <c r="H253" s="3"/>
    </row>
    <row r="254" ht="12.75">
      <c r="H254" s="3"/>
    </row>
    <row r="255" ht="12.75">
      <c r="H255" s="3"/>
    </row>
    <row r="256" ht="12.75">
      <c r="H256" s="3"/>
    </row>
    <row r="257" ht="12.75">
      <c r="H257" s="3"/>
    </row>
    <row r="258" ht="12.75">
      <c r="H258" s="3"/>
    </row>
    <row r="259" ht="12.75">
      <c r="H259" s="3"/>
    </row>
    <row r="260" ht="12.75">
      <c r="H260" s="3"/>
    </row>
    <row r="261" ht="12.75">
      <c r="H261" s="3"/>
    </row>
    <row r="262" ht="12.75">
      <c r="H262" s="3"/>
    </row>
    <row r="263" ht="12.75">
      <c r="H263" s="3"/>
    </row>
    <row r="264" ht="12.75">
      <c r="H264" s="3"/>
    </row>
    <row r="265" ht="12.75">
      <c r="H265" s="3"/>
    </row>
    <row r="266" ht="12.75">
      <c r="H266" s="3"/>
    </row>
    <row r="267" ht="12.75">
      <c r="H267" s="3"/>
    </row>
    <row r="268" ht="12.75">
      <c r="H268" s="3"/>
    </row>
    <row r="269" ht="12.75">
      <c r="H269" s="3"/>
    </row>
    <row r="270" ht="12.75">
      <c r="H270" s="3"/>
    </row>
    <row r="271" ht="12.75">
      <c r="H271" s="3"/>
    </row>
    <row r="272" ht="12.75">
      <c r="H272" s="3"/>
    </row>
    <row r="273" ht="12.75">
      <c r="H273" s="3"/>
    </row>
    <row r="274" ht="12.75">
      <c r="H274" s="3"/>
    </row>
    <row r="275" ht="12.75">
      <c r="H275" s="3"/>
    </row>
    <row r="276" ht="12.75">
      <c r="H276" s="3"/>
    </row>
    <row r="277" ht="12.75">
      <c r="H277" s="3"/>
    </row>
    <row r="278" ht="12.75">
      <c r="H278" s="3"/>
    </row>
    <row r="279" ht="12.75">
      <c r="H279" s="3"/>
    </row>
    <row r="280" ht="12.75">
      <c r="H280" s="3"/>
    </row>
    <row r="281" ht="12.75">
      <c r="H281" s="3"/>
    </row>
    <row r="282" ht="12.75">
      <c r="H282" s="3"/>
    </row>
    <row r="283" ht="12.75">
      <c r="H283" s="3"/>
    </row>
    <row r="284" ht="12.75">
      <c r="H284" s="3"/>
    </row>
    <row r="285" ht="12.75">
      <c r="H285" s="3"/>
    </row>
    <row r="286" ht="12.75">
      <c r="H286" s="3"/>
    </row>
    <row r="287" ht="12.75">
      <c r="H287" s="3"/>
    </row>
    <row r="288" ht="12.75">
      <c r="H288" s="3"/>
    </row>
    <row r="289" ht="12.75">
      <c r="H289" s="3"/>
    </row>
    <row r="290" ht="12.75">
      <c r="H290" s="3"/>
    </row>
    <row r="291" ht="12.75">
      <c r="H291" s="3"/>
    </row>
    <row r="292" ht="12.75">
      <c r="H292" s="3"/>
    </row>
    <row r="293" ht="12.75">
      <c r="H293" s="3"/>
    </row>
    <row r="294" ht="12.75">
      <c r="H294" s="3"/>
    </row>
    <row r="295" ht="12.75">
      <c r="H295" s="3"/>
    </row>
    <row r="296" ht="12.75">
      <c r="H296" s="3"/>
    </row>
    <row r="297" ht="12.75">
      <c r="H297" s="3"/>
    </row>
    <row r="298" ht="12.75">
      <c r="H298" s="3"/>
    </row>
    <row r="299" ht="12.75">
      <c r="H299" s="3"/>
    </row>
    <row r="300" ht="12.75">
      <c r="H300" s="3"/>
    </row>
    <row r="301" ht="12.75">
      <c r="H301" s="3"/>
    </row>
    <row r="302" ht="12.75">
      <c r="H302" s="3"/>
    </row>
    <row r="303" ht="12.75">
      <c r="H303" s="3"/>
    </row>
    <row r="304" ht="12.75">
      <c r="H304" s="3"/>
    </row>
    <row r="305" ht="12.75">
      <c r="H305" s="3"/>
    </row>
    <row r="306" ht="12.75">
      <c r="H306" s="3"/>
    </row>
    <row r="307" ht="12.75">
      <c r="H307" s="3"/>
    </row>
    <row r="308" ht="12.75">
      <c r="H308" s="3"/>
    </row>
    <row r="309" ht="12.75">
      <c r="H309" s="3"/>
    </row>
    <row r="310" ht="12.75">
      <c r="H310" s="3"/>
    </row>
    <row r="311" ht="12.75">
      <c r="H311" s="3"/>
    </row>
    <row r="312" ht="12.75">
      <c r="H312" s="3"/>
    </row>
    <row r="313" ht="12.75">
      <c r="H313" s="3"/>
    </row>
    <row r="314" ht="12.75">
      <c r="H314" s="3"/>
    </row>
    <row r="315" ht="12.75">
      <c r="H315" s="3"/>
    </row>
    <row r="316" ht="12.75">
      <c r="H316" s="3"/>
    </row>
    <row r="317" ht="12.75">
      <c r="H317" s="3"/>
    </row>
    <row r="318" ht="12.75">
      <c r="H318" s="3"/>
    </row>
    <row r="319" ht="12.75">
      <c r="H319" s="3"/>
    </row>
    <row r="320" ht="12.75">
      <c r="H320" s="3"/>
    </row>
    <row r="321" ht="12.75">
      <c r="H321" s="3"/>
    </row>
    <row r="322" ht="12.75">
      <c r="H322" s="3"/>
    </row>
    <row r="323" ht="12.75">
      <c r="H323" s="3"/>
    </row>
    <row r="324" ht="12.75">
      <c r="H324" s="3"/>
    </row>
    <row r="325" ht="12.75">
      <c r="H325" s="3"/>
    </row>
    <row r="326" ht="12.75">
      <c r="H326" s="3"/>
    </row>
    <row r="327" ht="12.75">
      <c r="H327" s="3"/>
    </row>
    <row r="328" ht="12.75">
      <c r="H328" s="3"/>
    </row>
    <row r="329" ht="12.75">
      <c r="H329" s="3"/>
    </row>
    <row r="330" ht="12.75">
      <c r="H330" s="3"/>
    </row>
    <row r="331" ht="12.75">
      <c r="H331" s="3"/>
    </row>
    <row r="332" ht="12.75">
      <c r="H332" s="3"/>
    </row>
    <row r="333" ht="12.75">
      <c r="H333" s="3"/>
    </row>
    <row r="334" ht="12.75">
      <c r="H334" s="3"/>
    </row>
    <row r="335" ht="12.75">
      <c r="H335" s="3"/>
    </row>
    <row r="336" ht="12.75">
      <c r="H336" s="3"/>
    </row>
    <row r="337" ht="12.75">
      <c r="H337" s="3"/>
    </row>
    <row r="338" ht="12.75">
      <c r="H338" s="3"/>
    </row>
    <row r="339" ht="12.75">
      <c r="H339" s="3"/>
    </row>
    <row r="340" ht="12.75">
      <c r="H340" s="3"/>
    </row>
    <row r="341" ht="12.75">
      <c r="H341" s="3"/>
    </row>
    <row r="342" ht="12.75">
      <c r="H342" s="3"/>
    </row>
    <row r="343" ht="12.75">
      <c r="H343" s="3"/>
    </row>
    <row r="344" ht="12.75">
      <c r="H344" s="3"/>
    </row>
    <row r="345" ht="12.75">
      <c r="H345" s="3"/>
    </row>
    <row r="346" ht="12.75">
      <c r="H346" s="3"/>
    </row>
    <row r="347" ht="12.75">
      <c r="H347" s="3"/>
    </row>
    <row r="348" ht="12.75">
      <c r="H348" s="3"/>
    </row>
    <row r="349" ht="12.75">
      <c r="H349" s="3"/>
    </row>
    <row r="350" ht="12.75">
      <c r="H350" s="3"/>
    </row>
    <row r="351" ht="12.75">
      <c r="H351" s="3"/>
    </row>
    <row r="352" ht="12.75">
      <c r="H352" s="3"/>
    </row>
    <row r="353" ht="12.75">
      <c r="H353" s="3"/>
    </row>
    <row r="354" ht="12.75">
      <c r="H354" s="3"/>
    </row>
    <row r="355" ht="12.75">
      <c r="H355" s="3"/>
    </row>
    <row r="356" ht="12.75">
      <c r="H356" s="3"/>
    </row>
    <row r="357" ht="12.75">
      <c r="H357" s="3"/>
    </row>
    <row r="358" ht="12.75">
      <c r="H358" s="3"/>
    </row>
    <row r="359" ht="12.75">
      <c r="H359" s="3"/>
    </row>
    <row r="360" ht="12.75">
      <c r="H360" s="3"/>
    </row>
    <row r="361" ht="12.75">
      <c r="H361" s="3"/>
    </row>
    <row r="362" ht="12.75">
      <c r="H362" s="3"/>
    </row>
    <row r="363" ht="12.75">
      <c r="H363" s="3"/>
    </row>
    <row r="364" ht="12.75">
      <c r="H364" s="3"/>
    </row>
    <row r="365" ht="12.75">
      <c r="H365" s="3"/>
    </row>
    <row r="366" ht="12.75">
      <c r="H366" s="3"/>
    </row>
    <row r="367" ht="12.75">
      <c r="H367" s="3"/>
    </row>
    <row r="368" ht="12.75">
      <c r="H368" s="3"/>
    </row>
    <row r="369" ht="12.75">
      <c r="H369" s="3"/>
    </row>
    <row r="370" ht="12.75">
      <c r="H370" s="3"/>
    </row>
    <row r="371" ht="12.75">
      <c r="H371" s="3"/>
    </row>
    <row r="372" ht="12.75">
      <c r="H372" s="3"/>
    </row>
    <row r="373" ht="12.75">
      <c r="H373" s="3"/>
    </row>
    <row r="374" ht="12.75">
      <c r="H374" s="3"/>
    </row>
    <row r="375" ht="12.75">
      <c r="H375" s="3"/>
    </row>
    <row r="376" ht="12.75">
      <c r="H376" s="3"/>
    </row>
    <row r="377" ht="12.75">
      <c r="H377" s="3"/>
    </row>
    <row r="378" ht="12.75">
      <c r="H378" s="3"/>
    </row>
    <row r="379" ht="12.75">
      <c r="H379" s="3"/>
    </row>
    <row r="380" ht="12.75">
      <c r="H380" s="3"/>
    </row>
    <row r="381" ht="12.75">
      <c r="H381" s="3"/>
    </row>
    <row r="382" ht="12.75">
      <c r="H382" s="3"/>
    </row>
    <row r="383" ht="12.75">
      <c r="H383" s="3"/>
    </row>
    <row r="384" ht="12.75">
      <c r="H384" s="3"/>
    </row>
    <row r="385" ht="12.75">
      <c r="H385" s="3"/>
    </row>
    <row r="386" ht="12.75">
      <c r="H386" s="3"/>
    </row>
    <row r="387" ht="12.75">
      <c r="H387" s="3"/>
    </row>
    <row r="388" ht="12.75">
      <c r="H388" s="3"/>
    </row>
    <row r="389" ht="12.75">
      <c r="H389" s="3"/>
    </row>
    <row r="390" ht="12.75">
      <c r="H390" s="3"/>
    </row>
    <row r="391" ht="12.75">
      <c r="H391" s="3"/>
    </row>
    <row r="392" ht="12.75">
      <c r="H392" s="3"/>
    </row>
    <row r="393" ht="12.75">
      <c r="H393" s="3"/>
    </row>
    <row r="394" ht="12.75">
      <c r="H394" s="3"/>
    </row>
    <row r="395" ht="12.75">
      <c r="H395" s="3"/>
    </row>
    <row r="396" ht="12.75">
      <c r="H396" s="3"/>
    </row>
    <row r="397" ht="12.75">
      <c r="H397" s="3"/>
    </row>
    <row r="398" ht="12.75">
      <c r="H398" s="3"/>
    </row>
    <row r="399" ht="12.75">
      <c r="H399" s="3"/>
    </row>
    <row r="400" ht="12.75">
      <c r="H400" s="3"/>
    </row>
    <row r="401" ht="12.75">
      <c r="H401" s="3"/>
    </row>
    <row r="402" ht="12.75">
      <c r="H402" s="3"/>
    </row>
    <row r="403" ht="12.75">
      <c r="H403" s="3"/>
    </row>
    <row r="404" ht="12.75">
      <c r="H404" s="3"/>
    </row>
    <row r="405" ht="12.75">
      <c r="H405" s="3"/>
    </row>
    <row r="406" ht="12.75">
      <c r="H406" s="3"/>
    </row>
    <row r="407" ht="12.75">
      <c r="H407" s="3"/>
    </row>
    <row r="408" ht="12.75">
      <c r="H408" s="3"/>
    </row>
    <row r="409" ht="12.75">
      <c r="H409" s="3"/>
    </row>
    <row r="410" ht="12.75">
      <c r="H410" s="3"/>
    </row>
    <row r="411" ht="12.75">
      <c r="H411" s="3"/>
    </row>
    <row r="412" ht="12.75">
      <c r="H412" s="3"/>
    </row>
    <row r="413" ht="12.75">
      <c r="H413" s="3"/>
    </row>
    <row r="414" ht="12.75">
      <c r="H414" s="3"/>
    </row>
    <row r="415" ht="12.75">
      <c r="H415" s="3"/>
    </row>
    <row r="416" ht="12.75">
      <c r="H416" s="3"/>
    </row>
    <row r="417" ht="12.75">
      <c r="H417" s="3"/>
    </row>
    <row r="418" ht="12.75">
      <c r="H418" s="3"/>
    </row>
    <row r="419" ht="12.75">
      <c r="H419" s="3"/>
    </row>
    <row r="420" ht="12.75">
      <c r="H420" s="3"/>
    </row>
    <row r="421" ht="12.75">
      <c r="H421" s="3"/>
    </row>
    <row r="422" ht="12.75">
      <c r="H422" s="3"/>
    </row>
    <row r="423" ht="12.75">
      <c r="H423" s="3"/>
    </row>
    <row r="424" ht="12.75">
      <c r="H424" s="3"/>
    </row>
    <row r="425" ht="12.75">
      <c r="H425" s="3"/>
    </row>
    <row r="426" ht="12.75">
      <c r="H426" s="3"/>
    </row>
    <row r="427" ht="12.75">
      <c r="H427" s="3"/>
    </row>
    <row r="428" ht="12.75">
      <c r="H428" s="3"/>
    </row>
    <row r="429" ht="12.75">
      <c r="H429" s="3"/>
    </row>
    <row r="430" ht="12.75">
      <c r="H430" s="3"/>
    </row>
    <row r="431" ht="12.75">
      <c r="H431" s="3"/>
    </row>
    <row r="432" ht="12.75">
      <c r="H432" s="3"/>
    </row>
    <row r="433" ht="12.75">
      <c r="H433" s="3"/>
    </row>
    <row r="434" ht="12.75">
      <c r="H434" s="3"/>
    </row>
    <row r="435" ht="12.75">
      <c r="H435" s="3"/>
    </row>
    <row r="436" ht="12.75">
      <c r="H436" s="3"/>
    </row>
    <row r="437" ht="12.75">
      <c r="H437" s="3"/>
    </row>
    <row r="438" ht="12.75">
      <c r="H438" s="3"/>
    </row>
    <row r="439" ht="12.75">
      <c r="H439" s="3"/>
    </row>
    <row r="440" ht="12.75">
      <c r="H440" s="3"/>
    </row>
    <row r="441" ht="12.75">
      <c r="H441" s="3"/>
    </row>
    <row r="442" ht="12.75">
      <c r="H442" s="3"/>
    </row>
    <row r="443" ht="12.75">
      <c r="H443" s="3"/>
    </row>
    <row r="444" ht="12.75">
      <c r="H444" s="3"/>
    </row>
    <row r="445" ht="12.75">
      <c r="H445" s="3"/>
    </row>
    <row r="446" ht="12.75">
      <c r="H446" s="3"/>
    </row>
    <row r="447" ht="12.75">
      <c r="H447" s="3"/>
    </row>
    <row r="448" ht="12.75">
      <c r="H448" s="3"/>
    </row>
    <row r="449" ht="12.75">
      <c r="H449" s="3"/>
    </row>
    <row r="450" ht="12.75">
      <c r="H450" s="3"/>
    </row>
    <row r="451" ht="12.75">
      <c r="H451" s="3"/>
    </row>
    <row r="452" ht="12.75">
      <c r="H452" s="3"/>
    </row>
    <row r="453" ht="12.75">
      <c r="H453" s="3"/>
    </row>
    <row r="454" ht="12.75">
      <c r="H454" s="3"/>
    </row>
    <row r="455" ht="12.75">
      <c r="H455" s="3"/>
    </row>
    <row r="456" ht="12.75">
      <c r="H456" s="3"/>
    </row>
    <row r="457" ht="12.75">
      <c r="H457" s="3"/>
    </row>
    <row r="458" ht="12.75">
      <c r="H458" s="3"/>
    </row>
    <row r="459" ht="12.75">
      <c r="H459" s="3"/>
    </row>
    <row r="460" ht="12.75">
      <c r="H460" s="3"/>
    </row>
    <row r="461" ht="12.75">
      <c r="H461" s="3"/>
    </row>
    <row r="462" ht="12.75">
      <c r="H462" s="3"/>
    </row>
    <row r="463" ht="12.75">
      <c r="H463" s="3"/>
    </row>
    <row r="464" ht="12.75">
      <c r="H464" s="3"/>
    </row>
    <row r="465" ht="12.75">
      <c r="H465" s="3"/>
    </row>
    <row r="466" ht="12.75">
      <c r="H466" s="3"/>
    </row>
    <row r="467" ht="12.75">
      <c r="H467" s="3"/>
    </row>
    <row r="468" ht="12.75">
      <c r="H468" s="3"/>
    </row>
    <row r="469" ht="12.75">
      <c r="H469" s="3"/>
    </row>
    <row r="470" ht="12.75">
      <c r="H470" s="3"/>
    </row>
    <row r="471" ht="12.75">
      <c r="H471" s="3"/>
    </row>
    <row r="472" ht="12.75">
      <c r="H472" s="3"/>
    </row>
    <row r="473" ht="12.75">
      <c r="H473" s="3"/>
    </row>
    <row r="474" ht="12.75">
      <c r="H474" s="3"/>
    </row>
    <row r="475" ht="12.75">
      <c r="H475" s="3"/>
    </row>
    <row r="476" ht="12.75">
      <c r="H476" s="3"/>
    </row>
    <row r="477" ht="12.75">
      <c r="H477" s="3"/>
    </row>
    <row r="478" ht="12.75">
      <c r="H478" s="3"/>
    </row>
    <row r="479" ht="12.75">
      <c r="H479" s="3"/>
    </row>
    <row r="480" ht="12.75">
      <c r="H480" s="3"/>
    </row>
    <row r="481" ht="12.75">
      <c r="H481" s="3"/>
    </row>
    <row r="482" ht="12.75">
      <c r="H482" s="3"/>
    </row>
    <row r="483" ht="12.75">
      <c r="H483" s="3"/>
    </row>
    <row r="484" ht="12.75">
      <c r="H484" s="3"/>
    </row>
    <row r="485" ht="12.75">
      <c r="H485" s="3"/>
    </row>
    <row r="486" ht="12.75">
      <c r="H486" s="3"/>
    </row>
    <row r="487" ht="12.75">
      <c r="H487" s="3"/>
    </row>
    <row r="488" ht="12.75">
      <c r="H488" s="3"/>
    </row>
    <row r="489" ht="12.75">
      <c r="H489" s="3"/>
    </row>
    <row r="490" ht="12.75">
      <c r="H490" s="3"/>
    </row>
    <row r="491" ht="12.75">
      <c r="H491" s="3"/>
    </row>
    <row r="492" ht="12.75">
      <c r="H492" s="3"/>
    </row>
    <row r="493" ht="12.75">
      <c r="H493" s="3"/>
    </row>
    <row r="494" ht="12.75">
      <c r="H494" s="3"/>
    </row>
    <row r="495" ht="12.75">
      <c r="H495" s="3"/>
    </row>
    <row r="496" ht="12.75">
      <c r="H496" s="3"/>
    </row>
    <row r="497" ht="12.75">
      <c r="H497" s="3"/>
    </row>
    <row r="498" ht="12.75">
      <c r="H498" s="3"/>
    </row>
    <row r="499" ht="12.75">
      <c r="H499" s="3"/>
    </row>
    <row r="500" ht="12.75">
      <c r="H500" s="3"/>
    </row>
    <row r="501" ht="12.75">
      <c r="H501" s="3"/>
    </row>
    <row r="502" ht="12.75">
      <c r="H502" s="3"/>
    </row>
    <row r="503" ht="12.75">
      <c r="H503" s="3"/>
    </row>
    <row r="504" ht="12.75">
      <c r="H504" s="3"/>
    </row>
    <row r="505" ht="12.75">
      <c r="H505" s="3"/>
    </row>
    <row r="506" ht="12.75">
      <c r="H506" s="3"/>
    </row>
    <row r="507" ht="12.75">
      <c r="H507" s="3"/>
    </row>
    <row r="508" ht="12.75">
      <c r="H508" s="3"/>
    </row>
    <row r="509" ht="12.75">
      <c r="H509" s="3"/>
    </row>
    <row r="510" ht="12.75">
      <c r="H510" s="3"/>
    </row>
    <row r="511" ht="12.75">
      <c r="H511" s="3"/>
    </row>
    <row r="512" ht="12.75">
      <c r="H512" s="3"/>
    </row>
    <row r="513" ht="12.75">
      <c r="H513" s="3"/>
    </row>
    <row r="514" ht="12.75">
      <c r="H514" s="3"/>
    </row>
    <row r="515" ht="12.75">
      <c r="H515" s="3"/>
    </row>
    <row r="516" ht="12.75">
      <c r="H516" s="3"/>
    </row>
    <row r="517" ht="12.75">
      <c r="H517" s="3"/>
    </row>
    <row r="518" ht="12.75">
      <c r="H518" s="3"/>
    </row>
    <row r="519" ht="12.75">
      <c r="H519" s="3"/>
    </row>
    <row r="520" ht="12.75">
      <c r="H520" s="3"/>
    </row>
    <row r="521" ht="12.75">
      <c r="H521" s="3"/>
    </row>
    <row r="522" ht="12.75">
      <c r="H522" s="3"/>
    </row>
    <row r="523" ht="12.75">
      <c r="H523" s="3"/>
    </row>
  </sheetData>
  <sheetProtection password="C795" sheet="1" objects="1" scenarios="1"/>
  <printOptions horizontalCentered="1"/>
  <pageMargins left="0.1968503937007874" right="0.1968503937007874" top="0.1968503937007874" bottom="0.1968503937007874" header="0.5118110236220472" footer="0.5118110236220472"/>
  <pageSetup horizontalDpi="100" verticalDpi="100" orientation="landscape" paperSize="9" r:id="rId1"/>
</worksheet>
</file>

<file path=xl/worksheets/sheet8.xml><?xml version="1.0" encoding="utf-8"?>
<worksheet xmlns="http://schemas.openxmlformats.org/spreadsheetml/2006/main" xmlns:r="http://schemas.openxmlformats.org/officeDocument/2006/relationships">
  <sheetPr codeName="Tabelle9"/>
  <dimension ref="A1:I33"/>
  <sheetViews>
    <sheetView workbookViewId="0" topLeftCell="A1">
      <selection activeCell="A2" sqref="A2"/>
    </sheetView>
  </sheetViews>
  <sheetFormatPr defaultColWidth="11.421875" defaultRowHeight="12.75"/>
  <cols>
    <col min="1" max="1" width="11.421875" style="4" customWidth="1"/>
    <col min="2" max="2" width="9.8515625" style="4" customWidth="1"/>
    <col min="3" max="3" width="12.28125" style="4" customWidth="1"/>
    <col min="4" max="4" width="12.8515625" style="4" customWidth="1"/>
    <col min="5" max="5" width="11.7109375" style="4" customWidth="1"/>
    <col min="6" max="7" width="11.421875" style="4" customWidth="1"/>
    <col min="8" max="8" width="22.421875" style="4" customWidth="1"/>
    <col min="9" max="16384" width="11.421875" style="4" customWidth="1"/>
  </cols>
  <sheetData>
    <row r="1" spans="2:9" s="75" customFormat="1" ht="9">
      <c r="B1" s="75" t="s">
        <v>2483</v>
      </c>
      <c r="C1" s="76" t="s">
        <v>115</v>
      </c>
      <c r="D1" s="76" t="s">
        <v>116</v>
      </c>
      <c r="E1" s="76" t="s">
        <v>117</v>
      </c>
      <c r="F1" s="76" t="s">
        <v>1847</v>
      </c>
      <c r="G1" s="76"/>
      <c r="H1" s="76"/>
      <c r="I1" s="76"/>
    </row>
    <row r="2" spans="1:9" s="1" customFormat="1" ht="12.75">
      <c r="A2" s="1">
        <v>1</v>
      </c>
      <c r="B2" s="1">
        <v>1</v>
      </c>
      <c r="C2" s="2" t="s">
        <v>118</v>
      </c>
      <c r="D2" s="2" t="s">
        <v>2497</v>
      </c>
      <c r="E2" s="2" t="s">
        <v>73</v>
      </c>
      <c r="F2" s="2" t="s">
        <v>1848</v>
      </c>
      <c r="G2" s="2"/>
      <c r="H2" s="3"/>
      <c r="I2" s="2"/>
    </row>
    <row r="3" spans="1:9" s="1" customFormat="1" ht="12.75">
      <c r="A3" s="1">
        <f>A2+1</f>
        <v>2</v>
      </c>
      <c r="B3" s="1">
        <v>2</v>
      </c>
      <c r="C3" s="2" t="s">
        <v>2497</v>
      </c>
      <c r="D3" s="2" t="s">
        <v>2493</v>
      </c>
      <c r="E3" s="2" t="s">
        <v>73</v>
      </c>
      <c r="F3" s="2" t="s">
        <v>1848</v>
      </c>
      <c r="G3" s="2"/>
      <c r="H3" s="3"/>
      <c r="I3" s="2"/>
    </row>
    <row r="4" spans="1:9" s="1" customFormat="1" ht="12.75">
      <c r="A4" s="1">
        <f aca="true" t="shared" si="0" ref="A4:A26">A3+1</f>
        <v>3</v>
      </c>
      <c r="B4" s="1">
        <v>3</v>
      </c>
      <c r="C4" s="2" t="s">
        <v>2492</v>
      </c>
      <c r="D4" s="2" t="s">
        <v>2494</v>
      </c>
      <c r="E4" s="2" t="s">
        <v>69</v>
      </c>
      <c r="F4" s="2" t="s">
        <v>1848</v>
      </c>
      <c r="G4" s="2"/>
      <c r="H4" s="3"/>
      <c r="I4" s="2"/>
    </row>
    <row r="5" spans="1:9" s="1" customFormat="1" ht="12.75">
      <c r="A5" s="1">
        <f t="shared" si="0"/>
        <v>4</v>
      </c>
      <c r="B5" s="1">
        <v>4</v>
      </c>
      <c r="C5" s="2" t="s">
        <v>2493</v>
      </c>
      <c r="D5" s="2" t="s">
        <v>2494</v>
      </c>
      <c r="E5" s="2" t="s">
        <v>35</v>
      </c>
      <c r="F5" s="2" t="s">
        <v>1848</v>
      </c>
      <c r="G5" s="2"/>
      <c r="H5" s="3"/>
      <c r="I5" s="2"/>
    </row>
    <row r="6" spans="1:9" s="1" customFormat="1" ht="12.75">
      <c r="A6" s="1">
        <f t="shared" si="0"/>
        <v>5</v>
      </c>
      <c r="B6" s="1">
        <v>5</v>
      </c>
      <c r="C6" s="2" t="s">
        <v>2494</v>
      </c>
      <c r="D6" s="2" t="s">
        <v>2494</v>
      </c>
      <c r="E6" s="2" t="s">
        <v>2499</v>
      </c>
      <c r="F6" s="2" t="s">
        <v>1848</v>
      </c>
      <c r="G6" s="2"/>
      <c r="H6" s="3"/>
      <c r="I6" s="2"/>
    </row>
    <row r="7" spans="1:9" s="1" customFormat="1" ht="12.75">
      <c r="A7" s="1">
        <f t="shared" si="0"/>
        <v>6</v>
      </c>
      <c r="B7" s="1">
        <v>6</v>
      </c>
      <c r="C7" s="119" t="s">
        <v>119</v>
      </c>
      <c r="D7" s="2" t="s">
        <v>2498</v>
      </c>
      <c r="E7" s="2" t="s">
        <v>2496</v>
      </c>
      <c r="F7" s="2" t="s">
        <v>1848</v>
      </c>
      <c r="G7" s="2"/>
      <c r="H7" s="3"/>
      <c r="I7" s="2"/>
    </row>
    <row r="8" spans="1:9" s="1" customFormat="1" ht="12.75">
      <c r="A8" s="1">
        <f t="shared" si="0"/>
        <v>7</v>
      </c>
      <c r="B8" s="1">
        <v>7</v>
      </c>
      <c r="C8" s="119" t="s">
        <v>119</v>
      </c>
      <c r="D8" s="2" t="s">
        <v>2498</v>
      </c>
      <c r="E8" s="2" t="s">
        <v>119</v>
      </c>
      <c r="F8" s="2" t="s">
        <v>1848</v>
      </c>
      <c r="G8" s="2"/>
      <c r="H8" s="3"/>
      <c r="I8" s="2"/>
    </row>
    <row r="9" spans="1:9" s="1" customFormat="1" ht="12.75">
      <c r="A9" s="1">
        <f t="shared" si="0"/>
        <v>8</v>
      </c>
      <c r="B9" s="1">
        <v>8</v>
      </c>
      <c r="C9" s="119" t="s">
        <v>119</v>
      </c>
      <c r="D9" s="2" t="s">
        <v>2498</v>
      </c>
      <c r="E9" s="2" t="s">
        <v>119</v>
      </c>
      <c r="F9" s="2" t="s">
        <v>1848</v>
      </c>
      <c r="G9" s="2"/>
      <c r="H9" s="3"/>
      <c r="I9" s="2"/>
    </row>
    <row r="10" spans="1:9" s="1" customFormat="1" ht="12.75">
      <c r="A10" s="1">
        <f t="shared" si="0"/>
        <v>9</v>
      </c>
      <c r="B10" s="1">
        <v>9</v>
      </c>
      <c r="C10" s="119" t="s">
        <v>119</v>
      </c>
      <c r="D10" s="2" t="s">
        <v>2498</v>
      </c>
      <c r="E10" s="2" t="s">
        <v>119</v>
      </c>
      <c r="F10" s="2" t="s">
        <v>1848</v>
      </c>
      <c r="G10" s="2"/>
      <c r="H10" s="3"/>
      <c r="I10" s="2"/>
    </row>
    <row r="11" spans="1:9" s="1" customFormat="1" ht="12.75">
      <c r="A11" s="1">
        <f t="shared" si="0"/>
        <v>10</v>
      </c>
      <c r="B11" s="1">
        <v>10</v>
      </c>
      <c r="C11" s="119" t="s">
        <v>119</v>
      </c>
      <c r="D11" s="2" t="s">
        <v>2498</v>
      </c>
      <c r="E11" s="2" t="s">
        <v>119</v>
      </c>
      <c r="F11" s="2" t="s">
        <v>1848</v>
      </c>
      <c r="G11" s="2"/>
      <c r="H11" s="3"/>
      <c r="I11" s="2"/>
    </row>
    <row r="12" spans="1:9" s="1" customFormat="1" ht="12.75">
      <c r="A12" s="1">
        <f t="shared" si="0"/>
        <v>11</v>
      </c>
      <c r="B12" s="1">
        <v>11</v>
      </c>
      <c r="C12" s="119" t="s">
        <v>119</v>
      </c>
      <c r="D12" s="2" t="s">
        <v>2498</v>
      </c>
      <c r="E12" s="2" t="s">
        <v>119</v>
      </c>
      <c r="F12" s="2" t="s">
        <v>1848</v>
      </c>
      <c r="G12" s="2"/>
      <c r="H12" s="3"/>
      <c r="I12" s="2"/>
    </row>
    <row r="13" spans="1:9" s="1" customFormat="1" ht="12.75">
      <c r="A13" s="1">
        <f t="shared" si="0"/>
        <v>12</v>
      </c>
      <c r="B13" s="1">
        <v>12</v>
      </c>
      <c r="C13" s="119" t="s">
        <v>119</v>
      </c>
      <c r="D13" s="2" t="s">
        <v>2498</v>
      </c>
      <c r="E13" s="2" t="s">
        <v>119</v>
      </c>
      <c r="F13" s="2" t="s">
        <v>1848</v>
      </c>
      <c r="G13" s="2"/>
      <c r="H13" s="3"/>
      <c r="I13" s="2"/>
    </row>
    <row r="14" spans="1:9" s="1" customFormat="1" ht="12.75">
      <c r="A14" s="1">
        <f t="shared" si="0"/>
        <v>13</v>
      </c>
      <c r="B14" s="1">
        <v>13</v>
      </c>
      <c r="C14" s="119" t="s">
        <v>119</v>
      </c>
      <c r="D14" s="2" t="s">
        <v>2498</v>
      </c>
      <c r="E14" s="2" t="s">
        <v>119</v>
      </c>
      <c r="F14" s="2" t="s">
        <v>1848</v>
      </c>
      <c r="G14" s="2"/>
      <c r="H14" s="3"/>
      <c r="I14" s="2"/>
    </row>
    <row r="15" spans="1:9" s="1" customFormat="1" ht="12.75">
      <c r="A15" s="1">
        <f t="shared" si="0"/>
        <v>14</v>
      </c>
      <c r="B15" s="1">
        <v>14</v>
      </c>
      <c r="C15" s="119" t="s">
        <v>119</v>
      </c>
      <c r="D15" s="2" t="s">
        <v>2498</v>
      </c>
      <c r="E15" s="2" t="s">
        <v>119</v>
      </c>
      <c r="F15" s="2" t="s">
        <v>1848</v>
      </c>
      <c r="G15" s="2"/>
      <c r="H15" s="3"/>
      <c r="I15" s="2"/>
    </row>
    <row r="16" spans="1:9" s="1" customFormat="1" ht="12.75">
      <c r="A16" s="1">
        <f t="shared" si="0"/>
        <v>15</v>
      </c>
      <c r="B16" s="1">
        <v>15</v>
      </c>
      <c r="C16" s="119" t="s">
        <v>119</v>
      </c>
      <c r="D16" s="2" t="s">
        <v>2498</v>
      </c>
      <c r="E16" s="2" t="s">
        <v>2494</v>
      </c>
      <c r="F16" s="2" t="s">
        <v>1848</v>
      </c>
      <c r="G16" s="2"/>
      <c r="H16" s="3"/>
      <c r="I16" s="2"/>
    </row>
    <row r="17" spans="1:9" s="1" customFormat="1" ht="12.75">
      <c r="A17" s="1">
        <f t="shared" si="0"/>
        <v>16</v>
      </c>
      <c r="B17" s="1">
        <v>16</v>
      </c>
      <c r="C17" s="2" t="s">
        <v>2496</v>
      </c>
      <c r="D17" s="2" t="s">
        <v>2496</v>
      </c>
      <c r="E17" s="2" t="s">
        <v>2493</v>
      </c>
      <c r="F17" s="2" t="s">
        <v>1848</v>
      </c>
      <c r="G17" s="2"/>
      <c r="H17" s="3"/>
      <c r="I17" s="2"/>
    </row>
    <row r="18" spans="1:9" s="1" customFormat="1" ht="12.75">
      <c r="A18" s="1">
        <f t="shared" si="0"/>
        <v>17</v>
      </c>
      <c r="B18" s="1">
        <v>17</v>
      </c>
      <c r="C18" s="2" t="s">
        <v>2499</v>
      </c>
      <c r="D18" s="2" t="s">
        <v>2496</v>
      </c>
      <c r="E18" s="2" t="s">
        <v>2492</v>
      </c>
      <c r="F18" s="2" t="s">
        <v>1848</v>
      </c>
      <c r="G18" s="2"/>
      <c r="H18" s="3"/>
      <c r="I18" s="2"/>
    </row>
    <row r="19" spans="1:9" s="1" customFormat="1" ht="12.75">
      <c r="A19" s="1">
        <f t="shared" si="0"/>
        <v>18</v>
      </c>
      <c r="B19" s="1">
        <v>18</v>
      </c>
      <c r="C19" s="2" t="s">
        <v>2499</v>
      </c>
      <c r="D19" s="2" t="s">
        <v>2499</v>
      </c>
      <c r="E19" s="2" t="s">
        <v>2497</v>
      </c>
      <c r="F19" s="2" t="s">
        <v>1848</v>
      </c>
      <c r="G19" s="2"/>
      <c r="H19" s="3"/>
      <c r="I19" s="2"/>
    </row>
    <row r="20" spans="1:6" ht="12.75">
      <c r="A20" s="1">
        <f t="shared" si="0"/>
        <v>19</v>
      </c>
      <c r="B20" s="4">
        <v>19</v>
      </c>
      <c r="C20" s="2" t="s">
        <v>35</v>
      </c>
      <c r="D20" s="2" t="s">
        <v>35</v>
      </c>
      <c r="E20" s="2" t="s">
        <v>2497</v>
      </c>
      <c r="F20" s="2" t="s">
        <v>1848</v>
      </c>
    </row>
    <row r="21" spans="1:6" ht="12.75">
      <c r="A21" s="1">
        <f t="shared" si="0"/>
        <v>20</v>
      </c>
      <c r="B21" s="4">
        <v>20</v>
      </c>
      <c r="C21" s="2" t="s">
        <v>35</v>
      </c>
      <c r="D21" s="2" t="s">
        <v>35</v>
      </c>
      <c r="E21" s="2" t="s">
        <v>2497</v>
      </c>
      <c r="F21" s="2" t="s">
        <v>1848</v>
      </c>
    </row>
    <row r="22" spans="1:6" ht="12.75">
      <c r="A22" s="1">
        <f t="shared" si="0"/>
        <v>21</v>
      </c>
      <c r="B22" s="4">
        <v>21</v>
      </c>
      <c r="C22" s="2" t="s">
        <v>69</v>
      </c>
      <c r="D22" s="2" t="s">
        <v>69</v>
      </c>
      <c r="E22" s="2" t="s">
        <v>2491</v>
      </c>
      <c r="F22" s="2" t="s">
        <v>1848</v>
      </c>
    </row>
    <row r="23" spans="1:6" ht="12.75">
      <c r="A23" s="1">
        <f t="shared" si="0"/>
        <v>22</v>
      </c>
      <c r="B23" s="4">
        <v>22</v>
      </c>
      <c r="C23" s="2" t="s">
        <v>69</v>
      </c>
      <c r="D23" s="2" t="s">
        <v>69</v>
      </c>
      <c r="E23" s="2" t="s">
        <v>2491</v>
      </c>
      <c r="F23" s="2" t="s">
        <v>1848</v>
      </c>
    </row>
    <row r="24" spans="1:6" ht="12.75">
      <c r="A24" s="1">
        <f t="shared" si="0"/>
        <v>23</v>
      </c>
      <c r="B24" s="4">
        <v>23</v>
      </c>
      <c r="C24" s="2" t="s">
        <v>69</v>
      </c>
      <c r="D24" s="2" t="s">
        <v>69</v>
      </c>
      <c r="E24" s="2" t="s">
        <v>2491</v>
      </c>
      <c r="F24" s="2" t="s">
        <v>1848</v>
      </c>
    </row>
    <row r="25" spans="1:6" ht="12.75">
      <c r="A25" s="1">
        <f t="shared" si="0"/>
        <v>24</v>
      </c>
      <c r="B25" s="4">
        <v>24</v>
      </c>
      <c r="C25" s="2" t="s">
        <v>73</v>
      </c>
      <c r="D25" s="2" t="s">
        <v>73</v>
      </c>
      <c r="E25" s="2" t="s">
        <v>118</v>
      </c>
      <c r="F25" s="2" t="s">
        <v>1848</v>
      </c>
    </row>
    <row r="26" spans="1:6" ht="12.75">
      <c r="A26" s="1">
        <f t="shared" si="0"/>
        <v>25</v>
      </c>
      <c r="B26" s="4">
        <v>25</v>
      </c>
      <c r="C26" s="2" t="s">
        <v>73</v>
      </c>
      <c r="D26" s="2" t="s">
        <v>73</v>
      </c>
      <c r="E26" s="2" t="s">
        <v>118</v>
      </c>
      <c r="F26" s="2" t="s">
        <v>1848</v>
      </c>
    </row>
    <row r="27" ht="12.75">
      <c r="C27" s="2"/>
    </row>
    <row r="28" ht="12.75">
      <c r="C28" s="2"/>
    </row>
    <row r="29" ht="12.75">
      <c r="C29" s="2"/>
    </row>
    <row r="30" ht="12.75">
      <c r="C30" s="2"/>
    </row>
    <row r="31" ht="12.75">
      <c r="C31" s="2"/>
    </row>
    <row r="32" ht="12.75">
      <c r="C32" s="2"/>
    </row>
    <row r="33" ht="12.75">
      <c r="C33" s="2"/>
    </row>
  </sheetData>
  <sheetProtection password="C795" sheet="1" objects="1" scenarios="1"/>
  <printOptions horizontalCentered="1"/>
  <pageMargins left="0.1968503937007874" right="0.1968503937007874" top="0.1968503937007874" bottom="0.1968503937007874" header="0.5118110236220472" footer="0.511811023622047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codeName="Tabelle10"/>
  <dimension ref="A1:J42"/>
  <sheetViews>
    <sheetView workbookViewId="0" topLeftCell="A1">
      <selection activeCell="A2" sqref="A2"/>
    </sheetView>
  </sheetViews>
  <sheetFormatPr defaultColWidth="11.421875" defaultRowHeight="12.75"/>
  <cols>
    <col min="1" max="1" width="11.421875" style="5" customWidth="1"/>
    <col min="2" max="2" width="9.8515625" style="5" customWidth="1"/>
    <col min="3" max="3" width="11.140625" style="5" customWidth="1"/>
    <col min="4" max="4" width="18.7109375" style="5" customWidth="1"/>
    <col min="5" max="5" width="16.00390625" style="5" customWidth="1"/>
    <col min="6" max="6" width="9.00390625" style="5" customWidth="1"/>
    <col min="7" max="7" width="9.421875" style="5" customWidth="1"/>
    <col min="8" max="8" width="13.28125" style="5" bestFit="1" customWidth="1"/>
    <col min="9" max="16384" width="11.421875" style="5" customWidth="1"/>
  </cols>
  <sheetData>
    <row r="1" spans="2:10" s="75" customFormat="1" ht="9">
      <c r="B1" s="75" t="s">
        <v>2483</v>
      </c>
      <c r="C1" s="76" t="s">
        <v>120</v>
      </c>
      <c r="D1" s="76" t="s">
        <v>125</v>
      </c>
      <c r="E1" s="76" t="s">
        <v>121</v>
      </c>
      <c r="F1" s="76" t="s">
        <v>122</v>
      </c>
      <c r="G1" s="76" t="s">
        <v>123</v>
      </c>
      <c r="H1" s="76" t="s">
        <v>124</v>
      </c>
      <c r="I1" s="76" t="s">
        <v>1854</v>
      </c>
      <c r="J1" s="76"/>
    </row>
    <row r="2" spans="1:10" s="1" customFormat="1" ht="12.75">
      <c r="A2" s="1">
        <v>1</v>
      </c>
      <c r="B2" s="1">
        <v>1</v>
      </c>
      <c r="C2" s="2" t="s">
        <v>2492</v>
      </c>
      <c r="D2" s="2" t="s">
        <v>2492</v>
      </c>
      <c r="E2" s="3">
        <v>0.25</v>
      </c>
      <c r="F2" s="3">
        <v>0.3</v>
      </c>
      <c r="G2" s="2" t="s">
        <v>2493</v>
      </c>
      <c r="H2" s="2" t="s">
        <v>2498</v>
      </c>
      <c r="I2" s="3" t="s">
        <v>1848</v>
      </c>
      <c r="J2" s="2"/>
    </row>
    <row r="3" spans="1:10" s="1" customFormat="1" ht="12.75">
      <c r="A3" s="1">
        <f>A2+1</f>
        <v>2</v>
      </c>
      <c r="B3" s="1">
        <v>2</v>
      </c>
      <c r="C3" s="2" t="s">
        <v>2493</v>
      </c>
      <c r="D3" s="2" t="s">
        <v>2493</v>
      </c>
      <c r="E3" s="3">
        <v>0.3</v>
      </c>
      <c r="F3" s="3">
        <v>0.35</v>
      </c>
      <c r="G3" s="2" t="s">
        <v>2494</v>
      </c>
      <c r="H3" s="2" t="s">
        <v>2498</v>
      </c>
      <c r="I3" s="3" t="s">
        <v>1848</v>
      </c>
      <c r="J3" s="2"/>
    </row>
    <row r="4" spans="1:10" s="1" customFormat="1" ht="12.75">
      <c r="A4" s="1">
        <f aca="true" t="shared" si="0" ref="A4:A26">A3+1</f>
        <v>3</v>
      </c>
      <c r="B4" s="1">
        <v>3</v>
      </c>
      <c r="C4" s="2" t="s">
        <v>2493</v>
      </c>
      <c r="D4" s="2" t="s">
        <v>2493</v>
      </c>
      <c r="E4" s="3">
        <v>0.35</v>
      </c>
      <c r="F4" s="3">
        <v>0.4</v>
      </c>
      <c r="G4" s="2" t="s">
        <v>119</v>
      </c>
      <c r="H4" s="2" t="s">
        <v>2498</v>
      </c>
      <c r="I4" s="3" t="s">
        <v>1848</v>
      </c>
      <c r="J4" s="2"/>
    </row>
    <row r="5" spans="1:10" s="1" customFormat="1" ht="12.75">
      <c r="A5" s="1">
        <f t="shared" si="0"/>
        <v>4</v>
      </c>
      <c r="B5" s="1">
        <v>4</v>
      </c>
      <c r="C5" s="2" t="s">
        <v>2494</v>
      </c>
      <c r="D5" s="2" t="s">
        <v>2494</v>
      </c>
      <c r="E5" s="3">
        <v>0.4</v>
      </c>
      <c r="F5" s="3">
        <v>0.45</v>
      </c>
      <c r="G5" s="2" t="s">
        <v>119</v>
      </c>
      <c r="H5" s="2" t="s">
        <v>2498</v>
      </c>
      <c r="I5" s="3" t="s">
        <v>1848</v>
      </c>
      <c r="J5" s="2"/>
    </row>
    <row r="6" spans="1:10" s="1" customFormat="1" ht="12.75">
      <c r="A6" s="1">
        <f t="shared" si="0"/>
        <v>5</v>
      </c>
      <c r="B6" s="1">
        <v>5</v>
      </c>
      <c r="C6" s="2" t="s">
        <v>2494</v>
      </c>
      <c r="D6" s="2" t="s">
        <v>2494</v>
      </c>
      <c r="E6" s="3">
        <v>0.45</v>
      </c>
      <c r="F6" s="3">
        <v>0.5</v>
      </c>
      <c r="G6" s="2" t="s">
        <v>119</v>
      </c>
      <c r="H6" s="2" t="s">
        <v>2498</v>
      </c>
      <c r="I6" s="3" t="s">
        <v>1848</v>
      </c>
      <c r="J6" s="2"/>
    </row>
    <row r="7" spans="1:10" s="1" customFormat="1" ht="12.75">
      <c r="A7" s="1">
        <f t="shared" si="0"/>
        <v>6</v>
      </c>
      <c r="B7" s="1">
        <v>6</v>
      </c>
      <c r="C7" s="2" t="s">
        <v>2494</v>
      </c>
      <c r="D7" s="2" t="s">
        <v>2494</v>
      </c>
      <c r="E7" s="3">
        <v>0.5</v>
      </c>
      <c r="F7" s="3">
        <v>0.55</v>
      </c>
      <c r="G7" s="2" t="s">
        <v>119</v>
      </c>
      <c r="H7" s="2" t="s">
        <v>2498</v>
      </c>
      <c r="I7" s="3" t="s">
        <v>1848</v>
      </c>
      <c r="J7" s="2"/>
    </row>
    <row r="8" spans="1:10" s="1" customFormat="1" ht="12.75">
      <c r="A8" s="1">
        <f t="shared" si="0"/>
        <v>7</v>
      </c>
      <c r="B8" s="1">
        <v>7</v>
      </c>
      <c r="C8" s="2" t="s">
        <v>119</v>
      </c>
      <c r="D8" s="2" t="s">
        <v>119</v>
      </c>
      <c r="E8" s="3">
        <v>0.55</v>
      </c>
      <c r="F8" s="3">
        <v>0.6</v>
      </c>
      <c r="G8" s="2" t="s">
        <v>119</v>
      </c>
      <c r="H8" s="2" t="s">
        <v>2498</v>
      </c>
      <c r="I8" s="3" t="s">
        <v>1848</v>
      </c>
      <c r="J8" s="2"/>
    </row>
    <row r="9" spans="1:10" s="1" customFormat="1" ht="12.75">
      <c r="A9" s="1">
        <f t="shared" si="0"/>
        <v>8</v>
      </c>
      <c r="B9" s="1">
        <v>8</v>
      </c>
      <c r="C9" s="2" t="s">
        <v>119</v>
      </c>
      <c r="D9" s="2" t="s">
        <v>119</v>
      </c>
      <c r="E9" s="3">
        <v>0.6</v>
      </c>
      <c r="F9" s="3">
        <v>0.65</v>
      </c>
      <c r="G9" s="2" t="s">
        <v>119</v>
      </c>
      <c r="H9" s="2" t="s">
        <v>2498</v>
      </c>
      <c r="I9" s="3" t="s">
        <v>1848</v>
      </c>
      <c r="J9" s="2"/>
    </row>
    <row r="10" spans="1:10" s="1" customFormat="1" ht="12.75">
      <c r="A10" s="1">
        <f t="shared" si="0"/>
        <v>9</v>
      </c>
      <c r="B10" s="1">
        <v>9</v>
      </c>
      <c r="C10" s="2" t="s">
        <v>119</v>
      </c>
      <c r="D10" s="2" t="s">
        <v>119</v>
      </c>
      <c r="E10" s="3">
        <v>0.65</v>
      </c>
      <c r="F10" s="3">
        <v>0.7</v>
      </c>
      <c r="G10" s="2" t="s">
        <v>119</v>
      </c>
      <c r="H10" s="2" t="s">
        <v>2498</v>
      </c>
      <c r="I10" s="3" t="s">
        <v>1848</v>
      </c>
      <c r="J10" s="2"/>
    </row>
    <row r="11" spans="1:10" s="1" customFormat="1" ht="12.75">
      <c r="A11" s="1">
        <f t="shared" si="0"/>
        <v>10</v>
      </c>
      <c r="B11" s="1">
        <v>10</v>
      </c>
      <c r="C11" s="2" t="s">
        <v>119</v>
      </c>
      <c r="D11" s="2" t="s">
        <v>119</v>
      </c>
      <c r="E11" s="3">
        <v>0.7</v>
      </c>
      <c r="F11" s="3">
        <v>0.75</v>
      </c>
      <c r="G11" s="2" t="s">
        <v>119</v>
      </c>
      <c r="H11" s="2" t="s">
        <v>2498</v>
      </c>
      <c r="I11" s="3" t="s">
        <v>1848</v>
      </c>
      <c r="J11" s="2"/>
    </row>
    <row r="12" spans="1:10" s="1" customFormat="1" ht="12.75">
      <c r="A12" s="1">
        <f t="shared" si="0"/>
        <v>11</v>
      </c>
      <c r="B12" s="1">
        <v>11</v>
      </c>
      <c r="C12" s="2" t="s">
        <v>119</v>
      </c>
      <c r="D12" s="2" t="s">
        <v>119</v>
      </c>
      <c r="E12" s="3">
        <v>0.75</v>
      </c>
      <c r="F12" s="3">
        <v>0.8</v>
      </c>
      <c r="G12" s="2" t="s">
        <v>119</v>
      </c>
      <c r="H12" s="2" t="s">
        <v>2498</v>
      </c>
      <c r="I12" s="3" t="s">
        <v>1848</v>
      </c>
      <c r="J12" s="2"/>
    </row>
    <row r="13" spans="1:10" s="1" customFormat="1" ht="12.75">
      <c r="A13" s="1">
        <f t="shared" si="0"/>
        <v>12</v>
      </c>
      <c r="B13" s="1">
        <v>12</v>
      </c>
      <c r="C13" s="2" t="s">
        <v>119</v>
      </c>
      <c r="D13" s="2" t="s">
        <v>119</v>
      </c>
      <c r="E13" s="3">
        <v>0.8</v>
      </c>
      <c r="F13" s="3">
        <v>0.85</v>
      </c>
      <c r="G13" s="2" t="s">
        <v>119</v>
      </c>
      <c r="H13" s="2" t="s">
        <v>2498</v>
      </c>
      <c r="I13" s="3" t="s">
        <v>1848</v>
      </c>
      <c r="J13" s="2"/>
    </row>
    <row r="14" spans="1:10" s="1" customFormat="1" ht="12.75">
      <c r="A14" s="1">
        <f t="shared" si="0"/>
        <v>13</v>
      </c>
      <c r="B14" s="1">
        <v>13</v>
      </c>
      <c r="C14" s="2" t="s">
        <v>119</v>
      </c>
      <c r="D14" s="2" t="s">
        <v>119</v>
      </c>
      <c r="E14" s="3">
        <v>0.85</v>
      </c>
      <c r="F14" s="3">
        <v>0.9</v>
      </c>
      <c r="G14" s="2" t="s">
        <v>119</v>
      </c>
      <c r="H14" s="2" t="s">
        <v>2498</v>
      </c>
      <c r="I14" s="3" t="s">
        <v>1848</v>
      </c>
      <c r="J14" s="2"/>
    </row>
    <row r="15" spans="1:10" s="1" customFormat="1" ht="12.75">
      <c r="A15" s="1">
        <f t="shared" si="0"/>
        <v>14</v>
      </c>
      <c r="B15" s="1">
        <v>14</v>
      </c>
      <c r="C15" s="2" t="s">
        <v>119</v>
      </c>
      <c r="D15" s="2" t="s">
        <v>119</v>
      </c>
      <c r="E15" s="3">
        <v>0.88</v>
      </c>
      <c r="F15" s="3">
        <v>0.92</v>
      </c>
      <c r="G15" s="2" t="s">
        <v>119</v>
      </c>
      <c r="H15" s="2" t="s">
        <v>2498</v>
      </c>
      <c r="I15" s="3" t="s">
        <v>1848</v>
      </c>
      <c r="J15" s="2"/>
    </row>
    <row r="16" spans="1:10" s="1" customFormat="1" ht="12.75">
      <c r="A16" s="1">
        <f t="shared" si="0"/>
        <v>15</v>
      </c>
      <c r="B16" s="1">
        <v>15</v>
      </c>
      <c r="C16" s="2" t="s">
        <v>2496</v>
      </c>
      <c r="D16" s="2" t="s">
        <v>2496</v>
      </c>
      <c r="E16" s="3">
        <v>0.9</v>
      </c>
      <c r="F16" s="3">
        <v>0.94</v>
      </c>
      <c r="G16" s="2" t="s">
        <v>119</v>
      </c>
      <c r="H16" s="2" t="s">
        <v>2498</v>
      </c>
      <c r="I16" s="3" t="s">
        <v>1848</v>
      </c>
      <c r="J16" s="2"/>
    </row>
    <row r="17" spans="1:10" s="1" customFormat="1" ht="12.75">
      <c r="A17" s="1">
        <f t="shared" si="0"/>
        <v>16</v>
      </c>
      <c r="B17" s="1">
        <v>16</v>
      </c>
      <c r="C17" s="2" t="s">
        <v>2499</v>
      </c>
      <c r="D17" s="2" t="s">
        <v>2499</v>
      </c>
      <c r="E17" s="3">
        <v>0.95</v>
      </c>
      <c r="F17" s="3">
        <v>0.96</v>
      </c>
      <c r="G17" s="2" t="s">
        <v>119</v>
      </c>
      <c r="H17" s="2" t="s">
        <v>2498</v>
      </c>
      <c r="I17" s="3" t="s">
        <v>1848</v>
      </c>
      <c r="J17" s="2"/>
    </row>
    <row r="18" spans="1:10" s="1" customFormat="1" ht="12.75">
      <c r="A18" s="1">
        <f t="shared" si="0"/>
        <v>17</v>
      </c>
      <c r="B18" s="1">
        <v>17</v>
      </c>
      <c r="C18" s="2" t="s">
        <v>1849</v>
      </c>
      <c r="D18" s="2" t="s">
        <v>35</v>
      </c>
      <c r="E18" s="3">
        <v>0.97</v>
      </c>
      <c r="F18" s="3">
        <v>0.98</v>
      </c>
      <c r="G18" s="2" t="s">
        <v>119</v>
      </c>
      <c r="H18" s="2" t="s">
        <v>2498</v>
      </c>
      <c r="I18" s="3" t="s">
        <v>1848</v>
      </c>
      <c r="J18" s="2"/>
    </row>
    <row r="19" spans="1:10" s="1" customFormat="1" ht="12.75">
      <c r="A19" s="1">
        <f t="shared" si="0"/>
        <v>18</v>
      </c>
      <c r="B19" s="1">
        <v>18</v>
      </c>
      <c r="C19" s="2" t="s">
        <v>1850</v>
      </c>
      <c r="D19" s="2" t="s">
        <v>69</v>
      </c>
      <c r="E19" s="3">
        <v>0.99</v>
      </c>
      <c r="F19" s="3">
        <v>1</v>
      </c>
      <c r="G19" s="2" t="s">
        <v>119</v>
      </c>
      <c r="H19" s="2" t="s">
        <v>2498</v>
      </c>
      <c r="I19" s="3" t="s">
        <v>1848</v>
      </c>
      <c r="J19" s="2"/>
    </row>
    <row r="20" spans="1:9" s="4" customFormat="1" ht="12.75">
      <c r="A20" s="1">
        <f t="shared" si="0"/>
        <v>19</v>
      </c>
      <c r="B20" s="4">
        <v>19</v>
      </c>
      <c r="C20" s="2" t="s">
        <v>1851</v>
      </c>
      <c r="D20" s="2" t="s">
        <v>73</v>
      </c>
      <c r="E20" s="3">
        <v>0.99</v>
      </c>
      <c r="F20" s="3">
        <v>1</v>
      </c>
      <c r="G20" s="8" t="s">
        <v>2496</v>
      </c>
      <c r="H20" s="2" t="s">
        <v>2498</v>
      </c>
      <c r="I20" s="3" t="s">
        <v>1848</v>
      </c>
    </row>
    <row r="21" spans="1:9" s="4" customFormat="1" ht="12.75">
      <c r="A21" s="1">
        <f t="shared" si="0"/>
        <v>20</v>
      </c>
      <c r="B21" s="4">
        <v>20</v>
      </c>
      <c r="C21" s="2" t="s">
        <v>1851</v>
      </c>
      <c r="D21" s="2" t="s">
        <v>73</v>
      </c>
      <c r="E21" s="3">
        <v>0.99</v>
      </c>
      <c r="F21" s="3">
        <v>1</v>
      </c>
      <c r="G21" s="8" t="s">
        <v>2496</v>
      </c>
      <c r="H21" s="4" t="s">
        <v>126</v>
      </c>
      <c r="I21" s="3" t="s">
        <v>1848</v>
      </c>
    </row>
    <row r="22" spans="1:9" s="4" customFormat="1" ht="12.75">
      <c r="A22" s="1">
        <f t="shared" si="0"/>
        <v>21</v>
      </c>
      <c r="B22" s="4">
        <v>21</v>
      </c>
      <c r="C22" s="2" t="s">
        <v>1852</v>
      </c>
      <c r="D22" s="2" t="s">
        <v>77</v>
      </c>
      <c r="E22" s="3">
        <v>0.99</v>
      </c>
      <c r="F22" s="3">
        <v>1</v>
      </c>
      <c r="G22" s="8" t="s">
        <v>2499</v>
      </c>
      <c r="H22" s="4" t="s">
        <v>127</v>
      </c>
      <c r="I22" s="3" t="s">
        <v>1848</v>
      </c>
    </row>
    <row r="23" spans="1:9" s="4" customFormat="1" ht="12.75">
      <c r="A23" s="1">
        <f t="shared" si="0"/>
        <v>22</v>
      </c>
      <c r="B23" s="4">
        <v>22</v>
      </c>
      <c r="C23" s="2" t="s">
        <v>1852</v>
      </c>
      <c r="D23" s="2" t="s">
        <v>77</v>
      </c>
      <c r="E23" s="3">
        <v>0.99</v>
      </c>
      <c r="F23" s="3">
        <v>1</v>
      </c>
      <c r="G23" s="8" t="s">
        <v>2499</v>
      </c>
      <c r="H23" s="4" t="s">
        <v>128</v>
      </c>
      <c r="I23" s="3" t="s">
        <v>1848</v>
      </c>
    </row>
    <row r="24" spans="1:9" s="4" customFormat="1" ht="12.75">
      <c r="A24" s="1">
        <f t="shared" si="0"/>
        <v>23</v>
      </c>
      <c r="B24" s="4">
        <v>23</v>
      </c>
      <c r="C24" s="2" t="s">
        <v>1852</v>
      </c>
      <c r="D24" s="2" t="s">
        <v>77</v>
      </c>
      <c r="E24" s="3">
        <v>0.99</v>
      </c>
      <c r="F24" s="3">
        <v>1</v>
      </c>
      <c r="G24" s="8" t="s">
        <v>35</v>
      </c>
      <c r="H24" s="4" t="s">
        <v>129</v>
      </c>
      <c r="I24" s="3" t="s">
        <v>1848</v>
      </c>
    </row>
    <row r="25" spans="1:9" s="4" customFormat="1" ht="12.75">
      <c r="A25" s="1">
        <f t="shared" si="0"/>
        <v>24</v>
      </c>
      <c r="B25" s="4">
        <v>24</v>
      </c>
      <c r="C25" s="2" t="s">
        <v>1853</v>
      </c>
      <c r="D25" s="2" t="s">
        <v>81</v>
      </c>
      <c r="E25" s="3">
        <v>0.99</v>
      </c>
      <c r="F25" s="3">
        <v>1</v>
      </c>
      <c r="G25" s="8" t="s">
        <v>35</v>
      </c>
      <c r="H25" s="4" t="s">
        <v>130</v>
      </c>
      <c r="I25" s="3" t="s">
        <v>1848</v>
      </c>
    </row>
    <row r="26" spans="1:9" s="4" customFormat="1" ht="12.75">
      <c r="A26" s="1">
        <f t="shared" si="0"/>
        <v>25</v>
      </c>
      <c r="B26" s="4">
        <v>25</v>
      </c>
      <c r="C26" s="2" t="s">
        <v>1853</v>
      </c>
      <c r="D26" s="2" t="s">
        <v>81</v>
      </c>
      <c r="E26" s="3">
        <v>1</v>
      </c>
      <c r="F26" s="3">
        <v>1</v>
      </c>
      <c r="G26" s="8" t="s">
        <v>69</v>
      </c>
      <c r="H26" s="4" t="s">
        <v>131</v>
      </c>
      <c r="I26" s="3" t="s">
        <v>1848</v>
      </c>
    </row>
    <row r="27" ht="12.75">
      <c r="E27" s="2"/>
    </row>
    <row r="28" ht="12.75">
      <c r="E28" s="2"/>
    </row>
    <row r="29" ht="12.75">
      <c r="E29" s="2"/>
    </row>
    <row r="30" ht="12.75">
      <c r="E30" s="2"/>
    </row>
    <row r="31" ht="12.75">
      <c r="E31" s="2"/>
    </row>
    <row r="32" ht="12.75">
      <c r="E32" s="2"/>
    </row>
    <row r="33" ht="12.75">
      <c r="E33" s="2"/>
    </row>
    <row r="34" ht="12.75">
      <c r="E34" s="2"/>
    </row>
    <row r="35" ht="12.75">
      <c r="E35" s="2"/>
    </row>
    <row r="36" ht="12.75">
      <c r="E36" s="2"/>
    </row>
    <row r="37" ht="12.75">
      <c r="E37" s="2"/>
    </row>
    <row r="38" ht="12.75">
      <c r="E38" s="2"/>
    </row>
    <row r="39" ht="12.75">
      <c r="E39" s="2"/>
    </row>
    <row r="40" ht="12.75">
      <c r="E40" s="2"/>
    </row>
    <row r="41" ht="12.75">
      <c r="E41" s="2"/>
    </row>
    <row r="42" ht="12.75">
      <c r="E42" s="2"/>
    </row>
  </sheetData>
  <sheetProtection password="C795" sheet="1" objects="1" scenarios="1"/>
  <printOptions horizontalCentered="1"/>
  <pageMargins left="0.1968503937007874" right="0.1968503937007874" top="0.1968503937007874" bottom="0.1968503937007874"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MUTZENBACH GmbH</dc:creator>
  <cp:keywords/>
  <dc:description/>
  <cp:lastModifiedBy>Sascha Mutzenbach</cp:lastModifiedBy>
  <cp:lastPrinted>2004-06-07T16:42:37Z</cp:lastPrinted>
  <dcterms:created xsi:type="dcterms:W3CDTF">2001-05-25T15:22:39Z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